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CPL002\Meu Drive\Licitações 2022\TOMADA DE PREÇO\TP 03-2022 Estádio Municipal\Arquivos Estadio Municipal\"/>
    </mc:Choice>
  </mc:AlternateContent>
  <xr:revisionPtr revIDLastSave="0" documentId="13_ncr:1_{61381210-2002-4875-86C7-8EF3E5AA8B7B}" xr6:coauthVersionLast="47" xr6:coauthVersionMax="47" xr10:uidLastSave="{00000000-0000-0000-0000-000000000000}"/>
  <bookViews>
    <workbookView xWindow="-120" yWindow="-120" windowWidth="20730" windowHeight="11160" tabRatio="847" activeTab="4" xr2:uid="{00000000-000D-0000-FFFF-FFFF00000000}"/>
  </bookViews>
  <sheets>
    <sheet name="PLANILHA ORÇAMENTÁRIA" sheetId="4" r:id="rId1"/>
    <sheet name="CRONOGRAMA FÍSICO-FINANCEIRO" sheetId="26" r:id="rId2"/>
    <sheet name="MEMÓRIAL DE CÁLCULO." sheetId="27" r:id="rId3"/>
    <sheet name="COMPOSIÇÕES" sheetId="6" r:id="rId4"/>
    <sheet name="RUP" sheetId="2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" i="26" l="1"/>
  <c r="P45" i="26"/>
  <c r="P43" i="26"/>
  <c r="N43" i="26"/>
  <c r="P42" i="26"/>
  <c r="N42" i="26"/>
  <c r="P41" i="26"/>
  <c r="N41" i="26"/>
  <c r="P40" i="26"/>
  <c r="N40" i="26"/>
  <c r="D45" i="26"/>
  <c r="H50" i="27"/>
  <c r="H51" i="27"/>
  <c r="H52" i="27"/>
  <c r="B43" i="26"/>
  <c r="A43" i="26"/>
  <c r="R43" i="26"/>
  <c r="B42" i="26"/>
  <c r="A42" i="26"/>
  <c r="B41" i="26"/>
  <c r="A41" i="26"/>
  <c r="R42" i="26"/>
  <c r="R41" i="26"/>
  <c r="A40" i="26"/>
  <c r="B40" i="26"/>
  <c r="R40" i="26"/>
  <c r="B39" i="26"/>
  <c r="A39" i="26"/>
  <c r="G171" i="27"/>
  <c r="I171" i="27" s="1"/>
  <c r="G170" i="27"/>
  <c r="I170" i="27" s="1"/>
  <c r="I179" i="27"/>
  <c r="F171" i="4" s="1"/>
  <c r="I171" i="4" s="1"/>
  <c r="H93" i="27"/>
  <c r="G182" i="27"/>
  <c r="I182" i="27" s="1"/>
  <c r="F175" i="4" s="1"/>
  <c r="I175" i="4" s="1"/>
  <c r="G181" i="27"/>
  <c r="I181" i="27" s="1"/>
  <c r="F174" i="4" s="1"/>
  <c r="H171" i="4"/>
  <c r="G178" i="27"/>
  <c r="H178" i="27" s="1"/>
  <c r="G177" i="27"/>
  <c r="H177" i="27" s="1"/>
  <c r="E176" i="27"/>
  <c r="I176" i="27" s="1"/>
  <c r="F169" i="4" s="1"/>
  <c r="H178" i="4"/>
  <c r="H175" i="4"/>
  <c r="H174" i="4"/>
  <c r="H170" i="4"/>
  <c r="H169" i="4"/>
  <c r="H166" i="4"/>
  <c r="H165" i="4"/>
  <c r="H164" i="4"/>
  <c r="H163" i="4"/>
  <c r="E164" i="27"/>
  <c r="H164" i="27" s="1"/>
  <c r="I157" i="27"/>
  <c r="K157" i="27"/>
  <c r="H19" i="4"/>
  <c r="H152" i="27"/>
  <c r="H153" i="27"/>
  <c r="F150" i="4" s="1"/>
  <c r="H109" i="27"/>
  <c r="G98" i="27"/>
  <c r="G84" i="27"/>
  <c r="H84" i="27" s="1"/>
  <c r="H102" i="27" s="1"/>
  <c r="G73" i="27"/>
  <c r="I74" i="27"/>
  <c r="G72" i="27"/>
  <c r="G81" i="27" s="1"/>
  <c r="F102" i="4"/>
  <c r="H44" i="27"/>
  <c r="F46" i="4" s="1"/>
  <c r="H41" i="27"/>
  <c r="F43" i="4" s="1"/>
  <c r="H37" i="27"/>
  <c r="H40" i="27" s="1"/>
  <c r="F42" i="4" s="1"/>
  <c r="G36" i="27"/>
  <c r="G33" i="27"/>
  <c r="I33" i="27" s="1"/>
  <c r="F35" i="4" s="1"/>
  <c r="G32" i="27"/>
  <c r="G29" i="27"/>
  <c r="I27" i="27"/>
  <c r="G26" i="27"/>
  <c r="F22" i="4"/>
  <c r="Q40" i="26" l="1"/>
  <c r="I184" i="27"/>
  <c r="F178" i="4" s="1"/>
  <c r="I178" i="4" s="1"/>
  <c r="I179" i="4" s="1"/>
  <c r="I177" i="27"/>
  <c r="F170" i="4" s="1"/>
  <c r="I170" i="4" s="1"/>
  <c r="I172" i="4" s="1"/>
  <c r="I174" i="4"/>
  <c r="I176" i="4" s="1"/>
  <c r="J171" i="4"/>
  <c r="G174" i="27"/>
  <c r="I174" i="27" s="1"/>
  <c r="F166" i="4" s="1"/>
  <c r="I166" i="4" s="1"/>
  <c r="G83" i="27"/>
  <c r="G172" i="27"/>
  <c r="I172" i="27" s="1"/>
  <c r="F164" i="4" s="1"/>
  <c r="F163" i="4"/>
  <c r="J163" i="4" s="1"/>
  <c r="I169" i="4"/>
  <c r="J169" i="4"/>
  <c r="J178" i="4"/>
  <c r="J179" i="4" s="1"/>
  <c r="D43" i="26" s="1"/>
  <c r="J175" i="4"/>
  <c r="J174" i="4"/>
  <c r="G76" i="27"/>
  <c r="F39" i="4"/>
  <c r="G77" i="27"/>
  <c r="G78" i="27"/>
  <c r="B37" i="26"/>
  <c r="A37" i="26"/>
  <c r="B33" i="26"/>
  <c r="A33" i="26"/>
  <c r="B32" i="26"/>
  <c r="A32" i="26"/>
  <c r="B31" i="26"/>
  <c r="A31" i="26"/>
  <c r="B30" i="26"/>
  <c r="A30" i="26"/>
  <c r="B29" i="26"/>
  <c r="A29" i="26"/>
  <c r="B28" i="26"/>
  <c r="A28" i="26"/>
  <c r="B27" i="26"/>
  <c r="A27" i="26"/>
  <c r="B26" i="26"/>
  <c r="A26" i="26"/>
  <c r="B25" i="26"/>
  <c r="A25" i="26"/>
  <c r="B24" i="26"/>
  <c r="A24" i="26"/>
  <c r="B23" i="26"/>
  <c r="A23" i="26"/>
  <c r="B22" i="26"/>
  <c r="A22" i="26"/>
  <c r="B21" i="26"/>
  <c r="A21" i="26"/>
  <c r="B20" i="26"/>
  <c r="A20" i="26"/>
  <c r="B19" i="26"/>
  <c r="A19" i="26"/>
  <c r="B18" i="26"/>
  <c r="A18" i="26"/>
  <c r="B17" i="26"/>
  <c r="A17" i="26"/>
  <c r="B16" i="26"/>
  <c r="A16" i="26"/>
  <c r="B15" i="26"/>
  <c r="A15" i="26"/>
  <c r="B14" i="26"/>
  <c r="A14" i="26"/>
  <c r="R9" i="26"/>
  <c r="J176" i="4" l="1"/>
  <c r="D42" i="26" s="1"/>
  <c r="I173" i="27"/>
  <c r="F165" i="4" s="1"/>
  <c r="J165" i="4" s="1"/>
  <c r="J166" i="4"/>
  <c r="I164" i="4"/>
  <c r="J164" i="4"/>
  <c r="I163" i="4"/>
  <c r="J170" i="4"/>
  <c r="J172" i="4" s="1"/>
  <c r="D41" i="26" s="1"/>
  <c r="F159" i="4"/>
  <c r="F142" i="4"/>
  <c r="F143" i="4"/>
  <c r="F144" i="4"/>
  <c r="F145" i="4"/>
  <c r="F146" i="4"/>
  <c r="F141" i="4"/>
  <c r="F127" i="4"/>
  <c r="I127" i="4" s="1"/>
  <c r="H131" i="4"/>
  <c r="H127" i="4"/>
  <c r="F123" i="4"/>
  <c r="F124" i="4"/>
  <c r="F125" i="4"/>
  <c r="I125" i="4" s="1"/>
  <c r="F126" i="4"/>
  <c r="I126" i="4" s="1"/>
  <c r="F128" i="4"/>
  <c r="F129" i="4"/>
  <c r="F130" i="4"/>
  <c r="F133" i="4"/>
  <c r="F134" i="4"/>
  <c r="F135" i="4"/>
  <c r="F122" i="4"/>
  <c r="H141" i="27"/>
  <c r="F138" i="4" s="1"/>
  <c r="H140" i="27"/>
  <c r="F137" i="4" s="1"/>
  <c r="I137" i="4" s="1"/>
  <c r="F136" i="4"/>
  <c r="I136" i="4" s="1"/>
  <c r="H137" i="4"/>
  <c r="H136" i="4"/>
  <c r="H135" i="27"/>
  <c r="F132" i="4" s="1"/>
  <c r="D180" i="6"/>
  <c r="F180" i="6" s="1"/>
  <c r="D179" i="6"/>
  <c r="H125" i="4"/>
  <c r="H126" i="4"/>
  <c r="F115" i="4"/>
  <c r="I115" i="4" s="1"/>
  <c r="F116" i="4"/>
  <c r="I116" i="4" s="1"/>
  <c r="F117" i="4"/>
  <c r="I117" i="4" s="1"/>
  <c r="F118" i="4"/>
  <c r="I118" i="4" s="1"/>
  <c r="F119" i="4"/>
  <c r="I119" i="4" s="1"/>
  <c r="H117" i="27"/>
  <c r="F113" i="4" s="1"/>
  <c r="I113" i="4" s="1"/>
  <c r="H118" i="27"/>
  <c r="F114" i="4" s="1"/>
  <c r="H116" i="27"/>
  <c r="F112" i="4" s="1"/>
  <c r="H119" i="4"/>
  <c r="H118" i="4"/>
  <c r="H117" i="4"/>
  <c r="H116" i="4"/>
  <c r="H115" i="4"/>
  <c r="H114" i="4"/>
  <c r="H113" i="4"/>
  <c r="H112" i="4"/>
  <c r="H111" i="4"/>
  <c r="F104" i="4"/>
  <c r="I104" i="4" s="1"/>
  <c r="H104" i="4"/>
  <c r="F107" i="27"/>
  <c r="E107" i="27"/>
  <c r="H98" i="27"/>
  <c r="F94" i="4" s="1"/>
  <c r="I94" i="4" s="1"/>
  <c r="H94" i="4"/>
  <c r="F89" i="4"/>
  <c r="I89" i="4" s="1"/>
  <c r="H89" i="4"/>
  <c r="H80" i="4"/>
  <c r="I82" i="27"/>
  <c r="H77" i="27"/>
  <c r="F74" i="4" s="1"/>
  <c r="G19" i="27"/>
  <c r="H18" i="27"/>
  <c r="J167" i="4" l="1"/>
  <c r="D40" i="26" s="1"/>
  <c r="I165" i="4"/>
  <c r="I167" i="4" s="1"/>
  <c r="H83" i="27"/>
  <c r="I83" i="27" s="1"/>
  <c r="F79" i="4" s="1"/>
  <c r="H134" i="27"/>
  <c r="F131" i="4" s="1"/>
  <c r="I131" i="4" s="1"/>
  <c r="J125" i="4"/>
  <c r="J127" i="4"/>
  <c r="J137" i="4"/>
  <c r="J136" i="4"/>
  <c r="J126" i="4"/>
  <c r="H107" i="27"/>
  <c r="J116" i="4"/>
  <c r="F80" i="4"/>
  <c r="I80" i="4" s="1"/>
  <c r="H87" i="27"/>
  <c r="H88" i="27"/>
  <c r="G91" i="27" s="1"/>
  <c r="J114" i="4"/>
  <c r="J115" i="4"/>
  <c r="J117" i="4"/>
  <c r="J118" i="4"/>
  <c r="J119" i="4"/>
  <c r="J113" i="4"/>
  <c r="I114" i="4"/>
  <c r="J112" i="4"/>
  <c r="I112" i="4"/>
  <c r="J104" i="4"/>
  <c r="J94" i="4"/>
  <c r="J89" i="4"/>
  <c r="H14" i="27"/>
  <c r="F19" i="4" s="1"/>
  <c r="I19" i="4" s="1"/>
  <c r="D190" i="6"/>
  <c r="H92" i="27" l="1"/>
  <c r="H91" i="27"/>
  <c r="J131" i="4"/>
  <c r="J80" i="4"/>
  <c r="H25" i="27"/>
  <c r="F28" i="4" s="1"/>
  <c r="J19" i="4"/>
  <c r="R34" i="26"/>
  <c r="R35" i="26"/>
  <c r="R36" i="26"/>
  <c r="B38" i="26" l="1"/>
  <c r="A38" i="26"/>
  <c r="R38" i="26"/>
  <c r="B36" i="26"/>
  <c r="B35" i="26"/>
  <c r="B34" i="26"/>
  <c r="A36" i="26"/>
  <c r="A35" i="26"/>
  <c r="A34" i="26"/>
  <c r="F158" i="4"/>
  <c r="I158" i="4" s="1"/>
  <c r="H158" i="4"/>
  <c r="H159" i="4"/>
  <c r="J159" i="4" s="1"/>
  <c r="H150" i="4"/>
  <c r="H149" i="4"/>
  <c r="H142" i="4"/>
  <c r="H143" i="4"/>
  <c r="H144" i="4"/>
  <c r="H145" i="4"/>
  <c r="H146" i="4"/>
  <c r="H141" i="4"/>
  <c r="H135" i="4"/>
  <c r="H123" i="4"/>
  <c r="H124" i="4"/>
  <c r="H128" i="4"/>
  <c r="H129" i="4"/>
  <c r="H132" i="4"/>
  <c r="H133" i="4"/>
  <c r="H134" i="4"/>
  <c r="H122" i="4"/>
  <c r="I159" i="4"/>
  <c r="I160" i="4" l="1"/>
  <c r="J158" i="4"/>
  <c r="J160" i="4" s="1"/>
  <c r="D38" i="26" l="1"/>
  <c r="F179" i="6"/>
  <c r="D178" i="6"/>
  <c r="D183" i="6" s="1"/>
  <c r="D177" i="6"/>
  <c r="F177" i="6" s="1"/>
  <c r="I150" i="4"/>
  <c r="J150" i="4"/>
  <c r="I149" i="4"/>
  <c r="J149" i="4"/>
  <c r="J151" i="4" s="1"/>
  <c r="J146" i="4"/>
  <c r="J143" i="4"/>
  <c r="J141" i="4"/>
  <c r="I141" i="4"/>
  <c r="I135" i="4"/>
  <c r="J135" i="4"/>
  <c r="I134" i="4"/>
  <c r="J134" i="4"/>
  <c r="I133" i="4"/>
  <c r="J133" i="4"/>
  <c r="J132" i="4"/>
  <c r="I132" i="4"/>
  <c r="I129" i="4"/>
  <c r="J129" i="4"/>
  <c r="I128" i="4"/>
  <c r="J128" i="4"/>
  <c r="I124" i="4"/>
  <c r="J124" i="4"/>
  <c r="I123" i="4"/>
  <c r="J123" i="4"/>
  <c r="I122" i="4"/>
  <c r="J122" i="4"/>
  <c r="F111" i="4"/>
  <c r="F110" i="4"/>
  <c r="F109" i="4"/>
  <c r="P38" i="26" l="1"/>
  <c r="N38" i="26"/>
  <c r="I111" i="4"/>
  <c r="J111" i="4"/>
  <c r="D184" i="6"/>
  <c r="F184" i="6" s="1"/>
  <c r="D182" i="6"/>
  <c r="F183" i="6"/>
  <c r="F178" i="6"/>
  <c r="I151" i="4"/>
  <c r="I143" i="4"/>
  <c r="I146" i="4"/>
  <c r="F155" i="4"/>
  <c r="F154" i="4"/>
  <c r="F153" i="4"/>
  <c r="F103" i="4"/>
  <c r="G110" i="27"/>
  <c r="H110" i="27" s="1"/>
  <c r="F106" i="4" s="1"/>
  <c r="F105" i="4"/>
  <c r="F98" i="4"/>
  <c r="F87" i="4"/>
  <c r="F88" i="4"/>
  <c r="F84" i="4"/>
  <c r="F83" i="4"/>
  <c r="H81" i="27"/>
  <c r="H78" i="27"/>
  <c r="F75" i="4" s="1"/>
  <c r="H76" i="27"/>
  <c r="F73" i="4" s="1"/>
  <c r="H73" i="27"/>
  <c r="I73" i="27" s="1"/>
  <c r="H72" i="27"/>
  <c r="F70" i="4" s="1"/>
  <c r="H74" i="4"/>
  <c r="H67" i="27"/>
  <c r="F66" i="4" s="1"/>
  <c r="H66" i="27"/>
  <c r="F65" i="4" s="1"/>
  <c r="F56" i="4"/>
  <c r="F57" i="4"/>
  <c r="F58" i="4"/>
  <c r="F59" i="4"/>
  <c r="F60" i="4"/>
  <c r="F61" i="4"/>
  <c r="F62" i="4"/>
  <c r="H56" i="27"/>
  <c r="F55" i="4" s="1"/>
  <c r="F52" i="4"/>
  <c r="F51" i="4"/>
  <c r="H49" i="27"/>
  <c r="F50" i="4" s="1"/>
  <c r="H36" i="27"/>
  <c r="H32" i="27"/>
  <c r="F34" i="4" s="1"/>
  <c r="F38" i="4" s="1"/>
  <c r="H29" i="27"/>
  <c r="F31" i="4" s="1"/>
  <c r="H26" i="27"/>
  <c r="I26" i="27" s="1"/>
  <c r="F29" i="4" s="1"/>
  <c r="H21" i="27"/>
  <c r="F24" i="4" s="1"/>
  <c r="H20" i="27"/>
  <c r="H19" i="27"/>
  <c r="H15" i="27"/>
  <c r="D14" i="6"/>
  <c r="F13" i="6"/>
  <c r="F12" i="6"/>
  <c r="F11" i="6"/>
  <c r="F10" i="6"/>
  <c r="F121" i="6"/>
  <c r="F124" i="6"/>
  <c r="F123" i="6"/>
  <c r="Q38" i="26" l="1"/>
  <c r="Q43" i="26"/>
  <c r="Q42" i="26"/>
  <c r="Q41" i="26"/>
  <c r="H96" i="27"/>
  <c r="H97" i="27" s="1"/>
  <c r="H103" i="27"/>
  <c r="F99" i="4" s="1"/>
  <c r="F78" i="4"/>
  <c r="H101" i="27"/>
  <c r="F97" i="4" s="1"/>
  <c r="D36" i="26"/>
  <c r="P36" i="26" s="1"/>
  <c r="C17" i="6"/>
  <c r="H75" i="27"/>
  <c r="F72" i="4" s="1"/>
  <c r="F71" i="4"/>
  <c r="H28" i="27"/>
  <c r="F30" i="4" s="1"/>
  <c r="F182" i="6"/>
  <c r="D181" i="6"/>
  <c r="F181" i="6" s="1"/>
  <c r="I142" i="4"/>
  <c r="J144" i="4"/>
  <c r="I144" i="4"/>
  <c r="J142" i="4"/>
  <c r="I74" i="4"/>
  <c r="J74" i="4"/>
  <c r="I23" i="4"/>
  <c r="H23" i="4"/>
  <c r="J23" i="4" s="1"/>
  <c r="N36" i="26" l="1"/>
  <c r="Q36" i="26" s="1"/>
  <c r="F93" i="4"/>
  <c r="F92" i="4"/>
  <c r="G130" i="4"/>
  <c r="J145" i="4"/>
  <c r="J147" i="4" s="1"/>
  <c r="I145" i="4"/>
  <c r="H55" i="4"/>
  <c r="H62" i="4"/>
  <c r="J62" i="4" s="1"/>
  <c r="I62" i="4"/>
  <c r="H61" i="4"/>
  <c r="J61" i="4" s="1"/>
  <c r="I61" i="4"/>
  <c r="I59" i="4"/>
  <c r="H57" i="4"/>
  <c r="J57" i="4" s="1"/>
  <c r="I57" i="4"/>
  <c r="H58" i="4"/>
  <c r="J58" i="4" s="1"/>
  <c r="I58" i="4"/>
  <c r="H59" i="4"/>
  <c r="H60" i="4"/>
  <c r="J60" i="4" s="1"/>
  <c r="I60" i="4"/>
  <c r="I56" i="4"/>
  <c r="H56" i="4"/>
  <c r="J56" i="4" s="1"/>
  <c r="I130" i="4" l="1"/>
  <c r="H130" i="4"/>
  <c r="J130" i="4" s="1"/>
  <c r="I147" i="4"/>
  <c r="J59" i="4"/>
  <c r="D35" i="26" l="1"/>
  <c r="N35" i="26" s="1"/>
  <c r="J55" i="4"/>
  <c r="J63" i="4" s="1"/>
  <c r="I55" i="4"/>
  <c r="I63" i="4" s="1"/>
  <c r="P35" i="26" l="1"/>
  <c r="Q35" i="26" s="1"/>
  <c r="D23" i="26"/>
  <c r="R33" i="26"/>
  <c r="R27" i="26"/>
  <c r="R37" i="26"/>
  <c r="R32" i="26"/>
  <c r="R14" i="26"/>
  <c r="R17" i="26"/>
  <c r="R20" i="26"/>
  <c r="R22" i="26"/>
  <c r="R23" i="26"/>
  <c r="R26" i="26"/>
  <c r="R28" i="26"/>
  <c r="R29" i="26"/>
  <c r="R30" i="26"/>
  <c r="R31" i="26"/>
  <c r="R19" i="26" l="1"/>
  <c r="R16" i="26"/>
  <c r="R24" i="26"/>
  <c r="R18" i="26"/>
  <c r="H51" i="4" l="1"/>
  <c r="J51" i="4" s="1"/>
  <c r="I51" i="4"/>
  <c r="H50" i="4" l="1"/>
  <c r="J50" i="4" s="1"/>
  <c r="L23" i="26" l="1"/>
  <c r="J23" i="26"/>
  <c r="N23" i="26"/>
  <c r="F23" i="26"/>
  <c r="P23" i="26"/>
  <c r="H23" i="26"/>
  <c r="I50" i="4"/>
  <c r="Q23" i="26" l="1"/>
  <c r="A158" i="6"/>
  <c r="B158" i="6"/>
  <c r="F161" i="6"/>
  <c r="F162" i="6"/>
  <c r="F163" i="6"/>
  <c r="F164" i="6"/>
  <c r="F165" i="6"/>
  <c r="F166" i="6"/>
  <c r="F167" i="6"/>
  <c r="F122" i="6"/>
  <c r="B128" i="6" s="1"/>
  <c r="F125" i="6"/>
  <c r="C128" i="6" s="1"/>
  <c r="F71" i="6"/>
  <c r="F72" i="6"/>
  <c r="F73" i="6"/>
  <c r="F76" i="6" l="1"/>
  <c r="G138" i="4" s="1"/>
  <c r="D158" i="6"/>
  <c r="F128" i="6"/>
  <c r="G66" i="4" s="1"/>
  <c r="C76" i="6"/>
  <c r="B76" i="6"/>
  <c r="F71" i="22"/>
  <c r="F33" i="22"/>
  <c r="F3" i="22"/>
  <c r="H138" i="4" l="1"/>
  <c r="J138" i="4" s="1"/>
  <c r="J139" i="4" s="1"/>
  <c r="I138" i="4"/>
  <c r="I139" i="4" s="1"/>
  <c r="H99" i="4"/>
  <c r="D34" i="26" l="1"/>
  <c r="L34" i="26" s="1"/>
  <c r="I99" i="4"/>
  <c r="J99" i="4"/>
  <c r="N34" i="26" l="1"/>
  <c r="H34" i="26"/>
  <c r="J34" i="26"/>
  <c r="H105" i="4"/>
  <c r="H103" i="4"/>
  <c r="H88" i="4"/>
  <c r="Q34" i="26" l="1"/>
  <c r="I103" i="4"/>
  <c r="J103" i="4" l="1"/>
  <c r="H97" i="4"/>
  <c r="H75" i="4"/>
  <c r="H79" i="4"/>
  <c r="I79" i="4"/>
  <c r="J79" i="4" l="1"/>
  <c r="H110" i="4" l="1"/>
  <c r="H106" i="4"/>
  <c r="H109" i="4"/>
  <c r="H98" i="4"/>
  <c r="H102" i="4"/>
  <c r="H93" i="4"/>
  <c r="H87" i="4"/>
  <c r="H92" i="4"/>
  <c r="J92" i="4" s="1"/>
  <c r="H83" i="4"/>
  <c r="H84" i="4"/>
  <c r="H78" i="4"/>
  <c r="H71" i="4"/>
  <c r="H72" i="4"/>
  <c r="H73" i="4"/>
  <c r="H70" i="4"/>
  <c r="I110" i="4"/>
  <c r="I109" i="4"/>
  <c r="I102" i="4"/>
  <c r="I120" i="4" l="1"/>
  <c r="J110" i="4"/>
  <c r="J102" i="4"/>
  <c r="J109" i="4"/>
  <c r="J120" i="4" s="1"/>
  <c r="D33" i="26" l="1"/>
  <c r="L33" i="26" s="1"/>
  <c r="I105" i="4"/>
  <c r="J105" i="4"/>
  <c r="I106" i="4"/>
  <c r="J106" i="4"/>
  <c r="I83" i="4"/>
  <c r="J83" i="4"/>
  <c r="J85" i="4" s="1"/>
  <c r="I70" i="4"/>
  <c r="J70" i="4"/>
  <c r="I84" i="4"/>
  <c r="J84" i="4"/>
  <c r="I71" i="4"/>
  <c r="J71" i="4"/>
  <c r="I78" i="4"/>
  <c r="I81" i="4" s="1"/>
  <c r="J78" i="4"/>
  <c r="I87" i="4"/>
  <c r="J87" i="4"/>
  <c r="I92" i="4"/>
  <c r="I75" i="4"/>
  <c r="J75" i="4"/>
  <c r="I93" i="4"/>
  <c r="J93" i="4"/>
  <c r="J95" i="4" s="1"/>
  <c r="I73" i="4"/>
  <c r="J73" i="4"/>
  <c r="J107" i="4" l="1"/>
  <c r="J81" i="4"/>
  <c r="D27" i="26" s="1"/>
  <c r="I95" i="4"/>
  <c r="J33" i="26"/>
  <c r="H33" i="26"/>
  <c r="P33" i="26"/>
  <c r="N33" i="26"/>
  <c r="F33" i="26"/>
  <c r="I107" i="4"/>
  <c r="I85" i="4"/>
  <c r="I88" i="4"/>
  <c r="I90" i="4" s="1"/>
  <c r="J88" i="4"/>
  <c r="J90" i="4" s="1"/>
  <c r="I72" i="4"/>
  <c r="I76" i="4" s="1"/>
  <c r="J72" i="4"/>
  <c r="J76" i="4" s="1"/>
  <c r="D29" i="26" l="1"/>
  <c r="D28" i="26"/>
  <c r="N28" i="26" s="1"/>
  <c r="D32" i="26"/>
  <c r="H32" i="26" s="1"/>
  <c r="D30" i="26"/>
  <c r="Q33" i="26"/>
  <c r="J27" i="26"/>
  <c r="L27" i="26"/>
  <c r="F27" i="26"/>
  <c r="N27" i="26"/>
  <c r="H27" i="26"/>
  <c r="P27" i="26"/>
  <c r="I97" i="4"/>
  <c r="J97" i="4"/>
  <c r="H28" i="26" l="1"/>
  <c r="P28" i="26"/>
  <c r="F28" i="26"/>
  <c r="D26" i="26"/>
  <c r="L26" i="26" s="1"/>
  <c r="L28" i="26"/>
  <c r="J28" i="26"/>
  <c r="L32" i="26"/>
  <c r="N32" i="26"/>
  <c r="J32" i="26"/>
  <c r="F32" i="26"/>
  <c r="P32" i="26"/>
  <c r="H30" i="26"/>
  <c r="P30" i="26"/>
  <c r="J30" i="26"/>
  <c r="F30" i="26"/>
  <c r="L30" i="26"/>
  <c r="N30" i="26"/>
  <c r="Q27" i="26"/>
  <c r="L29" i="26"/>
  <c r="F29" i="26"/>
  <c r="N29" i="26"/>
  <c r="H29" i="26"/>
  <c r="P29" i="26"/>
  <c r="J29" i="26"/>
  <c r="I98" i="4"/>
  <c r="I100" i="4" s="1"/>
  <c r="J98" i="4"/>
  <c r="J100" i="4" s="1"/>
  <c r="G52" i="4"/>
  <c r="H26" i="26" l="1"/>
  <c r="N26" i="26"/>
  <c r="F26" i="26"/>
  <c r="Q28" i="26"/>
  <c r="P26" i="26"/>
  <c r="J26" i="26"/>
  <c r="Q32" i="26"/>
  <c r="Q30" i="26"/>
  <c r="Q29" i="26"/>
  <c r="H52" i="4"/>
  <c r="I52" i="4"/>
  <c r="Q26" i="26" l="1"/>
  <c r="D31" i="26"/>
  <c r="L31" i="26" s="1"/>
  <c r="J52" i="4"/>
  <c r="J53" i="4" s="1"/>
  <c r="J31" i="26" l="1"/>
  <c r="N31" i="26"/>
  <c r="P31" i="26"/>
  <c r="F31" i="26"/>
  <c r="H31" i="26"/>
  <c r="H46" i="4"/>
  <c r="I46" i="4"/>
  <c r="H24" i="4"/>
  <c r="I24" i="4"/>
  <c r="H22" i="4"/>
  <c r="I22" i="4"/>
  <c r="H21" i="4"/>
  <c r="I21" i="4"/>
  <c r="H20" i="4"/>
  <c r="I20" i="4"/>
  <c r="I25" i="4" l="1"/>
  <c r="Q31" i="26"/>
  <c r="J20" i="4"/>
  <c r="J22" i="4"/>
  <c r="J46" i="4"/>
  <c r="J47" i="4" s="1"/>
  <c r="J24" i="4"/>
  <c r="J21" i="4"/>
  <c r="J25" i="4" l="1"/>
  <c r="D14" i="26" s="1"/>
  <c r="L14" i="26" l="1"/>
  <c r="N14" i="26"/>
  <c r="H14" i="26"/>
  <c r="F14" i="26"/>
  <c r="J14" i="26"/>
  <c r="P14" i="26"/>
  <c r="Q14" i="26" l="1"/>
  <c r="H29" i="4" l="1"/>
  <c r="H30" i="4"/>
  <c r="H31" i="4"/>
  <c r="H34" i="4"/>
  <c r="H35" i="4"/>
  <c r="H38" i="4"/>
  <c r="H39" i="4"/>
  <c r="H42" i="4"/>
  <c r="H28" i="4"/>
  <c r="H43" i="4"/>
  <c r="H154" i="4"/>
  <c r="H65" i="4"/>
  <c r="H155" i="4"/>
  <c r="H66" i="4"/>
  <c r="J154" i="4" l="1"/>
  <c r="J155" i="4"/>
  <c r="I35" i="4" l="1"/>
  <c r="J35" i="4"/>
  <c r="D20" i="26" l="1"/>
  <c r="I47" i="4"/>
  <c r="F14" i="6"/>
  <c r="B17" i="6" s="1"/>
  <c r="F17" i="6" s="1"/>
  <c r="I28" i="4" l="1"/>
  <c r="J28" i="4"/>
  <c r="I31" i="4"/>
  <c r="J31" i="4"/>
  <c r="I30" i="4"/>
  <c r="J30" i="4"/>
  <c r="I155" i="4"/>
  <c r="I154" i="4"/>
  <c r="L20" i="26" l="1"/>
  <c r="N20" i="26"/>
  <c r="F20" i="26"/>
  <c r="P20" i="26"/>
  <c r="H20" i="26"/>
  <c r="J20" i="26"/>
  <c r="I38" i="4"/>
  <c r="J38" i="4"/>
  <c r="J40" i="4" s="1"/>
  <c r="I42" i="4"/>
  <c r="J42" i="4"/>
  <c r="I39" i="4"/>
  <c r="J39" i="4"/>
  <c r="I34" i="4"/>
  <c r="I36" i="4" s="1"/>
  <c r="J34" i="4"/>
  <c r="I43" i="4"/>
  <c r="J43" i="4"/>
  <c r="I29" i="4"/>
  <c r="I32" i="4" s="1"/>
  <c r="J29" i="4"/>
  <c r="J44" i="4" l="1"/>
  <c r="J36" i="4"/>
  <c r="D17" i="26" s="1"/>
  <c r="J32" i="4"/>
  <c r="D16" i="26" s="1"/>
  <c r="I40" i="4"/>
  <c r="I44" i="4"/>
  <c r="D18" i="26"/>
  <c r="Q20" i="26"/>
  <c r="D19" i="26" l="1"/>
  <c r="P19" i="26" s="1"/>
  <c r="J17" i="26"/>
  <c r="N17" i="26"/>
  <c r="F17" i="26"/>
  <c r="P17" i="26"/>
  <c r="L17" i="26"/>
  <c r="H17" i="26"/>
  <c r="H18" i="26"/>
  <c r="L18" i="26"/>
  <c r="J18" i="26"/>
  <c r="N18" i="26"/>
  <c r="F18" i="26"/>
  <c r="P18" i="26"/>
  <c r="J16" i="26"/>
  <c r="N16" i="26"/>
  <c r="F16" i="26"/>
  <c r="P16" i="26"/>
  <c r="H16" i="26"/>
  <c r="L16" i="26"/>
  <c r="I153" i="4"/>
  <c r="I156" i="4" s="1"/>
  <c r="H153" i="4"/>
  <c r="I66" i="4"/>
  <c r="J66" i="4"/>
  <c r="I53" i="4"/>
  <c r="F19" i="26" l="1"/>
  <c r="H19" i="26"/>
  <c r="J19" i="26"/>
  <c r="N19" i="26"/>
  <c r="L19" i="26"/>
  <c r="D22" i="26"/>
  <c r="Q17" i="26"/>
  <c r="Q16" i="26"/>
  <c r="Q18" i="26"/>
  <c r="J153" i="4"/>
  <c r="J156" i="4" s="1"/>
  <c r="J65" i="4"/>
  <c r="I65" i="4"/>
  <c r="I67" i="4" s="1"/>
  <c r="J67" i="4" l="1"/>
  <c r="J180" i="4"/>
  <c r="D13" i="4" s="1"/>
  <c r="Q19" i="26"/>
  <c r="D24" i="26"/>
  <c r="N22" i="26"/>
  <c r="P22" i="26"/>
  <c r="J22" i="26"/>
  <c r="F22" i="26"/>
  <c r="H22" i="26"/>
  <c r="L22" i="26"/>
  <c r="D37" i="26" l="1"/>
  <c r="L24" i="26"/>
  <c r="H24" i="26"/>
  <c r="J24" i="26"/>
  <c r="N24" i="26"/>
  <c r="F24" i="26"/>
  <c r="P24" i="26"/>
  <c r="Q22" i="26"/>
  <c r="L37" i="26" l="1"/>
  <c r="L45" i="26" s="1"/>
  <c r="J37" i="26"/>
  <c r="J45" i="26" s="1"/>
  <c r="N37" i="26"/>
  <c r="F37" i="26"/>
  <c r="F45" i="26" s="1"/>
  <c r="H37" i="26"/>
  <c r="H45" i="26" s="1"/>
  <c r="P37" i="26"/>
  <c r="Q24" i="26"/>
  <c r="C16" i="26" l="1"/>
  <c r="C41" i="26"/>
  <c r="C28" i="26"/>
  <c r="C20" i="26"/>
  <c r="C26" i="26"/>
  <c r="C14" i="26"/>
  <c r="C42" i="26"/>
  <c r="C19" i="26"/>
  <c r="C18" i="26"/>
  <c r="C30" i="26"/>
  <c r="C27" i="26"/>
  <c r="C38" i="26"/>
  <c r="C23" i="26"/>
  <c r="C33" i="26"/>
  <c r="C32" i="26"/>
  <c r="C34" i="26"/>
  <c r="C24" i="26"/>
  <c r="C29" i="26"/>
  <c r="C31" i="26"/>
  <c r="C17" i="26"/>
  <c r="C36" i="26"/>
  <c r="C22" i="26"/>
  <c r="C35" i="26"/>
  <c r="C40" i="26"/>
  <c r="C43" i="26"/>
  <c r="C37" i="26"/>
  <c r="Q37" i="26"/>
  <c r="L44" i="26"/>
  <c r="F44" i="26"/>
  <c r="N44" i="26"/>
  <c r="P44" i="26"/>
  <c r="J44" i="26"/>
  <c r="H44" i="26"/>
  <c r="F47" i="26"/>
  <c r="H47" i="26" s="1"/>
  <c r="J47" i="26" s="1"/>
  <c r="C44" i="26" l="1"/>
  <c r="F46" i="26"/>
  <c r="H46" i="26" s="1"/>
  <c r="J46" i="26" s="1"/>
  <c r="L46" i="26" s="1"/>
  <c r="N46" i="26" s="1"/>
  <c r="P46" i="26" s="1"/>
  <c r="L47" i="26"/>
  <c r="N47" i="26" s="1"/>
  <c r="P47" i="26" s="1"/>
</calcChain>
</file>

<file path=xl/sharedStrings.xml><?xml version="1.0" encoding="utf-8"?>
<sst xmlns="http://schemas.openxmlformats.org/spreadsheetml/2006/main" count="1986" uniqueCount="798">
  <si>
    <t>ITEM</t>
  </si>
  <si>
    <t>UNID.</t>
  </si>
  <si>
    <t>CAMPO</t>
  </si>
  <si>
    <t>DIVERSOS</t>
  </si>
  <si>
    <t>m²</t>
  </si>
  <si>
    <t>und</t>
  </si>
  <si>
    <t>QUANT.</t>
  </si>
  <si>
    <t>-</t>
  </si>
  <si>
    <t>M</t>
  </si>
  <si>
    <t>PINTURA</t>
  </si>
  <si>
    <t>Serviço</t>
  </si>
  <si>
    <t>Código</t>
  </si>
  <si>
    <t>Descrição do Serviço</t>
  </si>
  <si>
    <t>Unidade</t>
  </si>
  <si>
    <t>10196/ORSE</t>
  </si>
  <si>
    <t>m2</t>
  </si>
  <si>
    <t>Composição de Preço</t>
  </si>
  <si>
    <t>Descrição da Composição</t>
  </si>
  <si>
    <t>Unid</t>
  </si>
  <si>
    <t>Quant</t>
  </si>
  <si>
    <t>Custo Unit.</t>
  </si>
  <si>
    <t>Custo Total</t>
  </si>
  <si>
    <t>06111/SINAPI</t>
  </si>
  <si>
    <t>Servente de obras</t>
  </si>
  <si>
    <t>h</t>
  </si>
  <si>
    <t>0.3</t>
  </si>
  <si>
    <t>Totais</t>
  </si>
  <si>
    <t>Equipamento</t>
  </si>
  <si>
    <t>Material</t>
  </si>
  <si>
    <t>Mão-de-Obra</t>
  </si>
  <si>
    <t>Terçeiros</t>
  </si>
  <si>
    <t>Valor Total</t>
  </si>
  <si>
    <t>0.00</t>
  </si>
  <si>
    <t>Relação Detalhada de Insumos</t>
  </si>
  <si>
    <t>Descrição do insumo</t>
  </si>
  <si>
    <t>00158/ORSE</t>
  </si>
  <si>
    <t>Almoço (Participação do empregador)</t>
  </si>
  <si>
    <t>un</t>
  </si>
  <si>
    <t>0.0305</t>
  </si>
  <si>
    <t>10.00</t>
  </si>
  <si>
    <t>0.31</t>
  </si>
  <si>
    <t>12893/SINAPI</t>
  </si>
  <si>
    <t>Bota de seguranca com biqueira de aco e colarinho acolchoado</t>
  </si>
  <si>
    <t>par</t>
  </si>
  <si>
    <t>0.0002</t>
  </si>
  <si>
    <t>38.97</t>
  </si>
  <si>
    <t>0.01</t>
  </si>
  <si>
    <t>12894/SINAPI</t>
  </si>
  <si>
    <t>Capa para chuva em pvc com forro de poliester, com capuz (amarela ou azul)</t>
  </si>
  <si>
    <t>0.0001</t>
  </si>
  <si>
    <t>10.55</t>
  </si>
  <si>
    <t>12895/SINAPI</t>
  </si>
  <si>
    <t>Capacete de seguranca aba frontal com suspensao de polietileno, sem jugular (classe b)</t>
  </si>
  <si>
    <t>8.12</t>
  </si>
  <si>
    <t>02711/SINAPI</t>
  </si>
  <si>
    <t>Carrinho de mao de aco capacidade 50 a 60 l, pneu com camara</t>
  </si>
  <si>
    <t>129.00</t>
  </si>
  <si>
    <t>10492/ORSE</t>
  </si>
  <si>
    <t>Cesta Básica</t>
  </si>
  <si>
    <t>0.0013</t>
  </si>
  <si>
    <t>130.00</t>
  </si>
  <si>
    <t>0.17</t>
  </si>
  <si>
    <t>10517/ORSE</t>
  </si>
  <si>
    <t>Exames admissionais/demissionais (checkup)</t>
  </si>
  <si>
    <t>cj</t>
  </si>
  <si>
    <t>326.00</t>
  </si>
  <si>
    <t>0.03</t>
  </si>
  <si>
    <t>00941/ORSE</t>
  </si>
  <si>
    <t>Fardamento</t>
  </si>
  <si>
    <t>0.0004</t>
  </si>
  <si>
    <t>68.59</t>
  </si>
  <si>
    <t>12892/SINAPI</t>
  </si>
  <si>
    <t>Luva raspa de couro, cano curto (punho *7* cm)</t>
  </si>
  <si>
    <t>0.0007</t>
  </si>
  <si>
    <t>7.30</t>
  </si>
  <si>
    <t>04729/ORSE</t>
  </si>
  <si>
    <t>Marreta 1 kg com cabo</t>
  </si>
  <si>
    <t>15.80</t>
  </si>
  <si>
    <t>01651/ORSE</t>
  </si>
  <si>
    <t>Óculos branco proteção</t>
  </si>
  <si>
    <t>pr</t>
  </si>
  <si>
    <t>5.50</t>
  </si>
  <si>
    <t>10788/ORSE</t>
  </si>
  <si>
    <t>Pá quadrada</t>
  </si>
  <si>
    <t>17.29</t>
  </si>
  <si>
    <t>10596/ORSE</t>
  </si>
  <si>
    <t>Protetor auricular</t>
  </si>
  <si>
    <t>3.20</t>
  </si>
  <si>
    <t>10599/ORSE</t>
  </si>
  <si>
    <t>Protetor solar fps 30</t>
  </si>
  <si>
    <t>0.0005</t>
  </si>
  <si>
    <t>17.74</t>
  </si>
  <si>
    <t>10761/ORSE</t>
  </si>
  <si>
    <t>Refeição - café da manhã ( café com leite e dois pães com manteiga)</t>
  </si>
  <si>
    <t>2.50</t>
  </si>
  <si>
    <t>0.08</t>
  </si>
  <si>
    <t>10362/ORSE</t>
  </si>
  <si>
    <t>Seguro de vida e acidente em grupo</t>
  </si>
  <si>
    <t>5.65</t>
  </si>
  <si>
    <t>9.30</t>
  </si>
  <si>
    <t>2.79</t>
  </si>
  <si>
    <t>04728/ORSE</t>
  </si>
  <si>
    <t>Talhadeira chata 10"</t>
  </si>
  <si>
    <t>9.45</t>
  </si>
  <si>
    <t>02378/ORSE</t>
  </si>
  <si>
    <t>Vale transporte</t>
  </si>
  <si>
    <t>0.0282</t>
  </si>
  <si>
    <t>3.50</t>
  </si>
  <si>
    <t>0.10</t>
  </si>
  <si>
    <t>COMPOSIÇÃO 1</t>
  </si>
  <si>
    <t>1.1</t>
  </si>
  <si>
    <t>1.2</t>
  </si>
  <si>
    <t>4.1</t>
  </si>
  <si>
    <t>4.2</t>
  </si>
  <si>
    <t>4.3</t>
  </si>
  <si>
    <t>5.1</t>
  </si>
  <si>
    <t>5.2</t>
  </si>
  <si>
    <t>5.3</t>
  </si>
  <si>
    <t>6.1</t>
  </si>
  <si>
    <t>6.2</t>
  </si>
  <si>
    <t>m</t>
  </si>
  <si>
    <t>COMPOSIÇÃO 2</t>
  </si>
  <si>
    <t>*</t>
  </si>
  <si>
    <t>kg</t>
  </si>
  <si>
    <t>04750/SINAPI</t>
  </si>
  <si>
    <t>Pedreiro</t>
  </si>
  <si>
    <t>06110/SINAPI</t>
  </si>
  <si>
    <t>Serralheiro</t>
  </si>
  <si>
    <t>m3</t>
  </si>
  <si>
    <t>13.39</t>
  </si>
  <si>
    <t>0.04</t>
  </si>
  <si>
    <t>0.05</t>
  </si>
  <si>
    <t>0.0006</t>
  </si>
  <si>
    <t>0.02</t>
  </si>
  <si>
    <t>0.0012</t>
  </si>
  <si>
    <t>0.06</t>
  </si>
  <si>
    <t>Enc, Social</t>
  </si>
  <si>
    <t>Custo Unit,</t>
  </si>
  <si>
    <t>74017/001</t>
  </si>
  <si>
    <t>M3</t>
  </si>
  <si>
    <t>9833</t>
  </si>
  <si>
    <t>TUBO PVC, FLEXIVEL, CORRUGADO, PERFURADO, DN 110 MM, PARA DRENAGEM, SISTEMA IRRIGACAO</t>
  </si>
  <si>
    <t>88267</t>
  </si>
  <si>
    <t>ENCANADOR OU BOMBEIRO HIDRÁULICO COM ENCARGOS COMPLEMENTARES</t>
  </si>
  <si>
    <t>H</t>
  </si>
  <si>
    <t>88316</t>
  </si>
  <si>
    <t>SERVENTE COM ENCARGOS COMPLEMENTARES</t>
  </si>
  <si>
    <t>SISTEMA DE DRENAGEM</t>
  </si>
  <si>
    <t>0.8168</t>
  </si>
  <si>
    <t>1.56</t>
  </si>
  <si>
    <t>1.27</t>
  </si>
  <si>
    <t>0.0021</t>
  </si>
  <si>
    <t>24.11</t>
  </si>
  <si>
    <t>0.0065</t>
  </si>
  <si>
    <t>7.92</t>
  </si>
  <si>
    <t>159.40</t>
  </si>
  <si>
    <t>0.0178</t>
  </si>
  <si>
    <t>0.24</t>
  </si>
  <si>
    <t>240.18</t>
  </si>
  <si>
    <t>680.18</t>
  </si>
  <si>
    <t>522.00</t>
  </si>
  <si>
    <t>0.37</t>
  </si>
  <si>
    <t>0.30</t>
  </si>
  <si>
    <t>0.0075</t>
  </si>
  <si>
    <t>5.04</t>
  </si>
  <si>
    <t>2.15</t>
  </si>
  <si>
    <t>6.61</t>
  </si>
  <si>
    <t>14.21</t>
  </si>
  <si>
    <t>0.0022</t>
  </si>
  <si>
    <t>6.58</t>
  </si>
  <si>
    <t>538.17</t>
  </si>
  <si>
    <t>0.0112</t>
  </si>
  <si>
    <t>0.075</t>
  </si>
  <si>
    <t>68.50</t>
  </si>
  <si>
    <t>5.14</t>
  </si>
  <si>
    <t>74.73</t>
  </si>
  <si>
    <t>5.60</t>
  </si>
  <si>
    <t>0.001</t>
  </si>
  <si>
    <t>138.04</t>
  </si>
  <si>
    <t>0.14</t>
  </si>
  <si>
    <t>l</t>
  </si>
  <si>
    <t>14.76</t>
  </si>
  <si>
    <t>0.0911</t>
  </si>
  <si>
    <t>0.90</t>
  </si>
  <si>
    <t>8.94</t>
  </si>
  <si>
    <t>19.83</t>
  </si>
  <si>
    <t>322.32</t>
  </si>
  <si>
    <t>0.813</t>
  </si>
  <si>
    <t>7.56</t>
  </si>
  <si>
    <t>0.0009</t>
  </si>
  <si>
    <t>108.60</t>
  </si>
  <si>
    <t>0.50</t>
  </si>
  <si>
    <t>0.41</t>
  </si>
  <si>
    <t>95.41</t>
  </si>
  <si>
    <t>10.63</t>
  </si>
  <si>
    <t>37370/SINAPI</t>
  </si>
  <si>
    <t>Alimentacao - horista (encargos complementares) (coletado caixa)</t>
  </si>
  <si>
    <t>36150/SINAPI</t>
  </si>
  <si>
    <t>Avental de seguranca de raspa de couro 1,00 x 0,60 m</t>
  </si>
  <si>
    <t>00010/SINAPI</t>
  </si>
  <si>
    <t>Balde plastico capacidade *10* l</t>
  </si>
  <si>
    <t>38399/SINAPI</t>
  </si>
  <si>
    <t>Bolsa de lona para ferramentas *50 x 35 x 25* cm</t>
  </si>
  <si>
    <t>02696/SINAPI</t>
  </si>
  <si>
    <t>Encanador ou bombeiro hidraulico</t>
  </si>
  <si>
    <t>38476/SINAPI</t>
  </si>
  <si>
    <t>Escada dupla de abrir em aluminio, modelo pintor, 8 degraus</t>
  </si>
  <si>
    <t>38477/SINAPI</t>
  </si>
  <si>
    <t>Escada extensivel em aluminio com 6,00 m estendida</t>
  </si>
  <si>
    <t>11359/SINAPI</t>
  </si>
  <si>
    <t>Esmerilhadeira angular eletrica, diametro do disco 7 '' (180 mm), rotacao 8500 rpm, potencia 2400 w</t>
  </si>
  <si>
    <t>37372/SINAPI</t>
  </si>
  <si>
    <t>Exames - horista (encargos complementares) (coletado caixa)</t>
  </si>
  <si>
    <t>12815/SINAPI</t>
  </si>
  <si>
    <t>Fita crepe rolo de 25 mm x 50 m</t>
  </si>
  <si>
    <t>04021/SINAPI</t>
  </si>
  <si>
    <t>Geotextil nao tecido agulhado de filamentos continuos 100% poliester, resitencia a tracao = 14 kn/m</t>
  </si>
  <si>
    <t>38382/SINAPI</t>
  </si>
  <si>
    <t>Linha de pedreiro lisa 100 m</t>
  </si>
  <si>
    <t>38413/SINAPI</t>
  </si>
  <si>
    <t>Lixadeira eletrica angular, para disco de 7 " (180 mm), potencia de 2.200 w, *5.000* rpm, 220 v</t>
  </si>
  <si>
    <t>04722/SINAPI</t>
  </si>
  <si>
    <t>Pedra britada n. 3 (38 a 50 mm) posto pedreira/fornecedor, sem frete</t>
  </si>
  <si>
    <t>04723/SINAPI</t>
  </si>
  <si>
    <t>Pedra britada n. 4 (50 a 76 mm) posto pedreira/fornecedor, sem frete</t>
  </si>
  <si>
    <t>36146/SINAPI</t>
  </si>
  <si>
    <t>Protetor solar fps 30, embalagem 2 litros</t>
  </si>
  <si>
    <t>25966/SINAPI</t>
  </si>
  <si>
    <t>Redutor tipo thinner para acabamento</t>
  </si>
  <si>
    <t>36144/SINAPI</t>
  </si>
  <si>
    <t>Respirador descartavel sem valvula de exalacao, pff 1</t>
  </si>
  <si>
    <t>38393/SINAPI</t>
  </si>
  <si>
    <t>Rolo de espuma poliester 23 cm (sem cabo)</t>
  </si>
  <si>
    <t>38390/SINAPI</t>
  </si>
  <si>
    <t>Rolo de la de carneiro 23 cm (sem cabo)</t>
  </si>
  <si>
    <t>37373/SINAPI</t>
  </si>
  <si>
    <t>Seguro - horista (encargos complementares) (coletado caixa)</t>
  </si>
  <si>
    <t>38396/SINAPI</t>
  </si>
  <si>
    <t>Selador horizontal para fita de aco 1 "</t>
  </si>
  <si>
    <t>36153/SINAPI</t>
  </si>
  <si>
    <t>Talabarte de seguranca, 2 mosquetoes trava dupla *53* mm deabertura, com absorvedor de energia</t>
  </si>
  <si>
    <t>37371/SINAPI</t>
  </si>
  <si>
    <t>Transporte - horista (encargos complementares) (coletado caixa)</t>
  </si>
  <si>
    <t>36149/SINAPI</t>
  </si>
  <si>
    <t>Trava-quedas em aco para corda de 12 mm, extensor de 25 x 300 mm, com mosquetao tipo gancho trava dupla</t>
  </si>
  <si>
    <t>09833/SINAPI</t>
  </si>
  <si>
    <t>Tubo pvc, flexivel, corrugado, perfurado, dn 110 mm, para drenagem, sistema irrigacao</t>
  </si>
  <si>
    <t>COMPOSIÇÃO 3</t>
  </si>
  <si>
    <t>m³</t>
  </si>
  <si>
    <t>00342/SINAPI</t>
  </si>
  <si>
    <t>Arame galvanizado 12 bwg, 2,76 mm (0,048 kg/m)</t>
  </si>
  <si>
    <t>05075/SINAPI</t>
  </si>
  <si>
    <t>Prego de aco polido com cabeca 18 x 30 (2 3/4 x 10)</t>
  </si>
  <si>
    <t>06188/SINAPI</t>
  </si>
  <si>
    <t>Tabua madeira 3a qualidade 2,5 x 30cm (1 x 12 ) nao aparelhada</t>
  </si>
  <si>
    <t>06298/SINAPI</t>
  </si>
  <si>
    <t>Te de ferro galvanizado, de 2"</t>
  </si>
  <si>
    <t>07696/SINAPI</t>
  </si>
  <si>
    <t>Tubo aco galvanizado com costura, classe media, dn 2", e = *3,65* mm, peso *5,10* kg/m (nbr 5580)</t>
  </si>
  <si>
    <t>10935/SINAPI</t>
  </si>
  <si>
    <t>Tela de arame galv revestido em pvc, quadrangular / losangular, fio 2,77 mm (12 bwg), bitola final = *3,8* mm, malha 7,5 x 7,5 cm, h = 2 m</t>
  </si>
  <si>
    <t>88309/SINAPI</t>
  </si>
  <si>
    <t>88316/SINAPI</t>
  </si>
  <si>
    <t>94970/SINAPI</t>
  </si>
  <si>
    <t>kw/h</t>
  </si>
  <si>
    <t>00370/SINAPI</t>
  </si>
  <si>
    <t>Areia media - posto jazida/fornecedor (retirado na jazida, sem transporte)</t>
  </si>
  <si>
    <t>36397/SINAPI</t>
  </si>
  <si>
    <t>Betoneira, capacidade nominal 600 l, capacidade de mistura360l, motor eletrico trifasico 220/380v, potencia 4cv, excluso carregador</t>
  </si>
  <si>
    <t>01214/SINAPI</t>
  </si>
  <si>
    <t>Carpinteiro de esquadrias</t>
  </si>
  <si>
    <t>01379/SINAPI</t>
  </si>
  <si>
    <t>Cimento portland composto cp ii-32</t>
  </si>
  <si>
    <t>02705/SINAPI</t>
  </si>
  <si>
    <t>Energia eletrica ate 2000 kwh industrial, sem demanda</t>
  </si>
  <si>
    <t>37666/SINAPI</t>
  </si>
  <si>
    <t>Operador de betoneira estacionaria/misturador</t>
  </si>
  <si>
    <t>04721/SINAPI</t>
  </si>
  <si>
    <t>Concreto fck = 20mpa, traço 1:2,7:3 (cimento/ areia média/ brita 1) - preparo mecânico com betoneira 600 l, af_07/2016</t>
  </si>
  <si>
    <t>14,644,06</t>
  </si>
  <si>
    <t>Lixadeira eletrica angular, para disco de 7 " (180 mm), potencia de 2,200 w, *5,000* rpm, 220 v</t>
  </si>
  <si>
    <t>Pedra britada n, 1 (9,5 a 19 mm) posto pedreira/fornecedor,sem frete</t>
  </si>
  <si>
    <t>MURO</t>
  </si>
  <si>
    <t>REVESTIMENTOS</t>
  </si>
  <si>
    <t>1.3</t>
  </si>
  <si>
    <t>1.4</t>
  </si>
  <si>
    <t>1.5</t>
  </si>
  <si>
    <t>1.6</t>
  </si>
  <si>
    <t>74106/001</t>
  </si>
  <si>
    <t>ESQUADRIAS</t>
  </si>
  <si>
    <t>Und</t>
  </si>
  <si>
    <t>COBERTA</t>
  </si>
  <si>
    <t>INSTALAÇÕES ELÉTRICAS</t>
  </si>
  <si>
    <t>PISOS</t>
  </si>
  <si>
    <t xml:space="preserve"> Terra Vegetal (Granel)</t>
  </si>
  <si>
    <t>CÓDIGO</t>
  </si>
  <si>
    <t>FONTE</t>
  </si>
  <si>
    <t>DESCRIÇÃO DOS SERVIÇOS</t>
  </si>
  <si>
    <t>CUSTO UNIT. (R$)</t>
  </si>
  <si>
    <t>CUSTO TOTAL (R$)</t>
  </si>
  <si>
    <t>PLANILHA ORÇAMENTÁRIA</t>
  </si>
  <si>
    <t>CONTRATO Nº:</t>
  </si>
  <si>
    <t>OBRA:</t>
  </si>
  <si>
    <t>BDI</t>
  </si>
  <si>
    <t>ENDEREÇO:</t>
  </si>
  <si>
    <t>SINAPI</t>
  </si>
  <si>
    <t>VALOR POR UNIDADE:</t>
  </si>
  <si>
    <t>ORSE</t>
  </si>
  <si>
    <t>ÁREA DO TERRENO</t>
  </si>
  <si>
    <t>INFRAESTRUTURA</t>
  </si>
  <si>
    <t>SUPERESTRUTURA</t>
  </si>
  <si>
    <t>COMP</t>
  </si>
  <si>
    <t>PREÇO (C/BDI) UNIT. (R$)</t>
  </si>
  <si>
    <t>PREÇO (C/BDI)  TOTAL (R$)</t>
  </si>
  <si>
    <t>SERVIÇOS PRELIMINARES</t>
  </si>
  <si>
    <t>0RSE</t>
  </si>
  <si>
    <t>4.2.1</t>
  </si>
  <si>
    <t>ESCAVAÇÃO MANUAL DE VALA COM PROFUNDIDADE MENOR OU IGUAL A 1,30 M. AF_03/2016</t>
  </si>
  <si>
    <t>4.1.1</t>
  </si>
  <si>
    <t>4.1.2</t>
  </si>
  <si>
    <t>4.1.3</t>
  </si>
  <si>
    <t>4.1.4</t>
  </si>
  <si>
    <t xml:space="preserve">SUB-TOTAL ITEM 1  </t>
  </si>
  <si>
    <t>TEXTURA ACRÍLICA, APLICAÇÃO MANUAL EM PAREDE, UMA DEMÃO. AF_09/2016</t>
  </si>
  <si>
    <t>EXECUÇÃO E COMPACTAÇÃO DE ATERRO COM SOLO PREDOMINANTEMENTE ARGILOSO - EXCLUSIVE ESCAVAÇÃO, CARGA E TRANSPORTE E SOLO. AF_09/2017</t>
  </si>
  <si>
    <t>CAIXA DE AREIA 40X40X40CM EM ALVENARIA - EXECUÇÃO</t>
  </si>
  <si>
    <t>UN</t>
  </si>
  <si>
    <t>AREIA MEDIA - POSTO JAZIDA/FORNECEDOR (RETIRADO NA JAZIDA, SEM TRANSPORTE)</t>
  </si>
  <si>
    <t>0,1100000</t>
  </si>
  <si>
    <t>CIMENTO PORTLAND POZOLANICO CP IV- 32</t>
  </si>
  <si>
    <t>50KG</t>
  </si>
  <si>
    <t>0,4100000</t>
  </si>
  <si>
    <t>PEDRA BRITADA N. 1 (9,5 a 19 MM) POSTO PEDREIRA/FORNECEDOR, SEM FRETE</t>
  </si>
  <si>
    <t>0,0310000</t>
  </si>
  <si>
    <t>BLOCO CERAMICO (ALVENARIA DE VEDACAO), 8 FUROS, DE 9 X 19 X 19 CM</t>
  </si>
  <si>
    <t>20,0000000</t>
  </si>
  <si>
    <t>88309</t>
  </si>
  <si>
    <t>PEDREIRO COM ENCARGOS COMPLEMENTARES</t>
  </si>
  <si>
    <t>0,9800000</t>
  </si>
  <si>
    <t>2,0700000</t>
  </si>
  <si>
    <t>03199/ORSE</t>
  </si>
  <si>
    <t xml:space="preserve">  Grelha metálica em ferro fundido, 50x50cm</t>
  </si>
  <si>
    <t>LIGAÇÃO PREDIAL DE ÁGUA EM MURETA DE CONCRETO, PROVISÓRIA OU DEFINITIVA, COM FORNECIMENTO DE MATERIAL, INCLUSIVE MURETA E HIDRÔMETRO, REDE DN 50MM</t>
  </si>
  <si>
    <t>ENTRADA PROVISORIA DE ENERGIA ELETRICA AEREA TRIFASICA 40A EM POSTE MADEIRA</t>
  </si>
  <si>
    <t>CONCRETO FCK = 15MPA, TRAÇO 1:3,4:3,5 (CIMENTO/ AREIA MÉDIA/ BRITA 1) - PREPARO MECÂNICO COM BETONEIRA 400 L. AF_07/2016</t>
  </si>
  <si>
    <t>LANÇAMENTO COM USO DE BALDES, ADENSAMENTO E ACABAMENTO DE CONCRETO EM ESTRUTURAS. AF_12/2015</t>
  </si>
  <si>
    <t>CONCRETO ARMADO FCK=21,0MPA, USINADO, BOMBEADO, ADENSADO E LANÇADO, PARA USO GERAL, COM FORMAS PLANAS EM COMPENSADO RESINADO 12MM (05 USOS)</t>
  </si>
  <si>
    <t>PINTURA ESMALTE BRILHANTE (2 DEMAOS) SOBRE SUPERFICIE METALICA, INCLUSIVE PROTECAO COM ZARCAO (1 DEMAO)</t>
  </si>
  <si>
    <t>IMPERMEABILIZACAO DE ESTRUTURAS ENTERRADAS, COM TINTA ASFALTICA, DUAS DEMAOS.</t>
  </si>
  <si>
    <t>CAMADA DRENANTE COM BRITA NUM 2</t>
  </si>
  <si>
    <t>TRAVE PARA FUTEBOL DE CAMPO</t>
  </si>
  <si>
    <t>REDE OFICIAL P/FUTEBOL CAMPO, NYLON, FIO 3MM, MALHA 16, DIM:7,5X2,5M</t>
  </si>
  <si>
    <t>ALAMBRADO EM TUBOS DE ACO GALVANIZADO, COM COSTURA, DIN 2440, DIAMETRO 2", ALTURA 5M, FIXADOS A CADA 2,50M EM BLOCOS DE CONCRETO, COM TELA DE ARAME GALVANIZADO, FIO 12 BWG E MALHA 8X8CM</t>
  </si>
  <si>
    <t>GRAMADO</t>
  </si>
  <si>
    <t>SISTEMA DE IRRIGAÇÃO</t>
  </si>
  <si>
    <t>4.3.1</t>
  </si>
  <si>
    <t>4.3.2</t>
  </si>
  <si>
    <t>SUB-TOTAL ITEM 4.1</t>
  </si>
  <si>
    <t>SUB-TOTAL ITEM 4.2</t>
  </si>
  <si>
    <t>SUB-TOTAL ITEM 4.3</t>
  </si>
  <si>
    <t>SUB-TOTAL ITEM 5.1</t>
  </si>
  <si>
    <t>SUB-TOTAL ITEM 5.2</t>
  </si>
  <si>
    <t>SUB-TOTAL ITEM 5.3</t>
  </si>
  <si>
    <t>IMPERMEABILIZAÇÃO DE SUPERFÍCIE COM MANTA ASFÁLTICA, UMA CAMADA, INCLUSIVE APLICAÇÃO DE PRIMER ASFÁLTICO, E=3MM. AF_06/2018</t>
  </si>
  <si>
    <t>PROTEÇÃO MECÂNICA DE SUPERFÍCIE HORIZONTAL COM ARGAMASSA DE CIMENTO E AREIA, TRAÇO 1:3, E=2CM. AF_06/2018</t>
  </si>
  <si>
    <t>APLICAÇÃO MANUAL DE PINTURA COM TINTA LÁTEX ACRÍLICA EM PAREDES, DUAS DEMÃOS. AF_06/2014</t>
  </si>
  <si>
    <t>APLICAÇÃO MANUAL DE PINTURA COM TINTA LÁTEX ACRÍLICA EM TETO, DUAS DEMÃOS. AF_06/2014</t>
  </si>
  <si>
    <t>PONTO DE TOMADA RESIDENCIAL INCLUINDO TOMADA 10A/250V, CAIXA ELÉTRICA, ELETRODUTO, CABO, RASGO, QUEBRA E CHUMBAMENTO. AF_01/2016</t>
  </si>
  <si>
    <t>PONTO DE ILUMINAÇÃO RESIDENCIAL INCLUINDO INTERRUPTOR SIMPLES, CAIXA ELÉTRICA, ELETRODUTO, CABO, RASGO, QUEBRA E CHUMBAMENTO (EXCLUINDO LUMINÁRIA E LÂMPADA). AF_01/2016</t>
  </si>
  <si>
    <t>KIT DE PORTA DE MADEIRA PARA PINTURA, SEMI-OCA (LEVE OU MÉDIA), PADRÃO MÉDIO, 80X210CM, ESPESSURA DE 3,5CM, ITENS INCLUSOS: DOBRADIÇAS, MONTAGEM E INSTALAÇÃO DO BATENTE, FECHADURA COM EXECUÇÃO DO FURO - FORNECIMENTO E INSTALAÇÃO. AF_08/2015</t>
  </si>
  <si>
    <t>VERGA PRÉ-MOLDADA PARA PORTAS COM ATÉ 1,5 M DE VÃO. AF_03/2016</t>
  </si>
  <si>
    <t>VERGA PRÉ-MOLDADA PARA JANELAS COM MAIS DE 1,5 M DE VÃO. AF_03/2016</t>
  </si>
  <si>
    <t>EXECUÇÃO DE PASSEIO EM PISO INTERTRAVADO, COM BLOCO RETANGULAR COR NATURAL DE 20 X 10 CM, ESPESSURA 6 CM. AF_12/2015</t>
  </si>
  <si>
    <t>JANELA DE ALUMÍNIO DE CORRER, 2 FOLHAS, FIXAÇÃO COM PARAFUSO SOBRE CONTRAMARCO (EXCLUSIVE CONTRAMARCO), COM VIDROS PADRONIZADA. AF_07/2016</t>
  </si>
  <si>
    <t>RUP</t>
  </si>
  <si>
    <t>Cálculo da RUP</t>
  </si>
  <si>
    <t>90843</t>
  </si>
  <si>
    <t/>
  </si>
  <si>
    <t>90802</t>
  </si>
  <si>
    <t>ADUELA / MARCO / BATENTE PARA PORTA DE 80X210CM, PADRÃO MÉDIO - FORNECIMENTO E MONTAGEM. AF_08/2015</t>
  </si>
  <si>
    <t>1,0000000</t>
  </si>
  <si>
    <t>90817</t>
  </si>
  <si>
    <t>ADUELA / MARCO / BATENTE PARA PORTA DE 80X210CM, FIXAÇÃO COM ARGAMASSA - SOMENTE INSTALAÇÃO. AF_08/2015_P</t>
  </si>
  <si>
    <t>90822</t>
  </si>
  <si>
    <t>PORTA DE MADEIRA PARA PINTURA, SEMI-OCA (LEVE OU MÉDIA), 80X210CM, ESPESSURA DE 3,5CM, INCLUSO DOBRADIÇAS - FORNECIMENTO E INSTALAÇÃO. AF_08/2015</t>
  </si>
  <si>
    <t>90828</t>
  </si>
  <si>
    <t>ALIZAR / GUARNIÇÃO DE 5X1,5CM PARA PORTA DE 80X210CM FIXADO COM PREGOS, PADRÃO MÉDIO - FORNECIMENTO E INSTALAÇÃO. AF_08/2015</t>
  </si>
  <si>
    <t>2,0000000</t>
  </si>
  <si>
    <t>90830</t>
  </si>
  <si>
    <t>FECHADURA DE EMBUTIR COM CILINDRO, EXTERNA, COMPLETA, ACABAMENTO PADRÃO MÉDIO, INCLUSO EXECUÇÃO DE FURO - FORNECIMENTO E INSTALAÇÃO. AF_08/2015</t>
  </si>
  <si>
    <t>183</t>
  </si>
  <si>
    <t>BATENTE/ PORTAL/ ADUELA/ MARCO MACICO, E= *3 CM, L= *13 CM, *60 CM A 120* CM X *210 CM,  EM CEDRINHO/ ANGELIM COMERCIAL/ EUCALIPTO/ CURUPIXA/ PEROBA/ CUMARU OU EQUIVALENTE DA REGIAO (NAO INCLUI ALIZARES)</t>
  </si>
  <si>
    <t>JG</t>
  </si>
  <si>
    <t>5066</t>
  </si>
  <si>
    <t>PREGO DE ACO POLIDO COM CABECA 12 X 12</t>
  </si>
  <si>
    <t>KG</t>
  </si>
  <si>
    <t>0,0108000</t>
  </si>
  <si>
    <t>5075</t>
  </si>
  <si>
    <t>PREGO DE ACO POLIDO COM CABECA 18 X 30 (2 3/4 X 10)</t>
  </si>
  <si>
    <t>0,0235000</t>
  </si>
  <si>
    <t>88261</t>
  </si>
  <si>
    <t>CARPINTEIRO DE ESQUADRIA COM ENCARGOS COMPLEMENTARES</t>
  </si>
  <si>
    <t>1,4840000</t>
  </si>
  <si>
    <t>5061</t>
  </si>
  <si>
    <t>PREGO DE ACO POLIDO COM CABECA 18 X 27 (2 1/2 X 10)</t>
  </si>
  <si>
    <t>0,2000000</t>
  </si>
  <si>
    <t>7319</t>
  </si>
  <si>
    <t>TINTA ASFALTICA IMPERMEABILIZANTE DISPERSA EM AGUA, PARA MATERIAIS CIMENTICIOS</t>
  </si>
  <si>
    <t>L</t>
  </si>
  <si>
    <t>0,1704000</t>
  </si>
  <si>
    <t>1,0460000</t>
  </si>
  <si>
    <t>88629</t>
  </si>
  <si>
    <t>ARGAMASSA TRAÇO 1:3 (CIMENTO E AREIA MÉDIA), PREPARO MANUAL. AF_08/2014</t>
  </si>
  <si>
    <t>0,0226000</t>
  </si>
  <si>
    <t>2432</t>
  </si>
  <si>
    <t>DOBRADICA EM ACO/FERRO, 3 1/2" X  3", E= 1,9  A 2 MM, COM ANEL,  CROMADO OU ZINCADO, TAMPA BOLA, COM PARAFUSOS</t>
  </si>
  <si>
    <t>3,0000000</t>
  </si>
  <si>
    <t>10555</t>
  </si>
  <si>
    <t>PORTA DE MADEIRA, FOLHA MEDIA (NBR 15930) DE 80 X 210 CM, E = 35 MM, NUCLEO SARRAFEADO, CAPA LISA EM HDF, ACABAMENTO EM PRIMER PARA PINTURA</t>
  </si>
  <si>
    <t>11055</t>
  </si>
  <si>
    <t>PARAFUSO ROSCA SOBERBA ZINCADO CABECA CHATA FENDA SIMPLES 3,5 X 25 MM (1 ")</t>
  </si>
  <si>
    <t>19,8000000</t>
  </si>
  <si>
    <t>0,7730000</t>
  </si>
  <si>
    <t>20017</t>
  </si>
  <si>
    <t>GUARNICAO/ ALIZAR/ VISTA MACICA, E= *1* CM, L= *4,5* CM, EM CEDRINHO/ ANGELIM COMERCIAL/  EUCALIPTO/ CURUPIXA/ PEROBA/ CUMARU OU EQUIVALENTE DA REGIAO</t>
  </si>
  <si>
    <t>5,8000000</t>
  </si>
  <si>
    <t>39026</t>
  </si>
  <si>
    <t>PREGO DE ACO POLIDO SEM CABECA 15 X 15 (1 1/4 X 13)</t>
  </si>
  <si>
    <t>0,0290000</t>
  </si>
  <si>
    <t>0,1850000</t>
  </si>
  <si>
    <t>3081</t>
  </si>
  <si>
    <t>FECHADURA DE EMBUTIR PARA PORTA EXTERNA / ENTRADA, MAQUINA 55 MM, COM CILINDRO, MACANETA ALAVANCA E ESPELHO EM METAL CROMADO - NIVEL SEGURANCA MEDIO - COMPLETA</t>
  </si>
  <si>
    <t>CJ</t>
  </si>
  <si>
    <t>0,5010000</t>
  </si>
  <si>
    <t>93141</t>
  </si>
  <si>
    <t>90447</t>
  </si>
  <si>
    <t>RASGO EM ALVENARIA PARA ELETRODUTOS COM DIAMETROS MENORES OU IGUAIS A 40 MM. AF_05/2015</t>
  </si>
  <si>
    <t>2,2000000</t>
  </si>
  <si>
    <t>90456</t>
  </si>
  <si>
    <t>QUEBRA EM ALVENARIA PARA INSTALAÇÃO DE CAIXA DE TOMADA (4X4 OU 4X2). AF_05/2015</t>
  </si>
  <si>
    <t>90466</t>
  </si>
  <si>
    <t>CHUMBAMENTO LINEAR EM ALVENARIA PARA RAMAIS/DISTRIBUIÇÃO COM DIÂMETROS MENORES OU IGUAIS A 40 MM. AF_05/2015</t>
  </si>
  <si>
    <t>91842</t>
  </si>
  <si>
    <t>ELETRODUTO FLEXÍVEL CORRUGADO, PVC, DN 20 MM (1/2"), PARA CIRCUITOS TERMINAIS, INSTALADO EM LAJE - FORNECIMENTO E INSTALAÇÃO. AF_12/2015</t>
  </si>
  <si>
    <t>91852</t>
  </si>
  <si>
    <t>ELETRODUTO FLEXÍVEL CORRUGADO, PVC, DN 20 MM (1/2"), PARA CIRCUITOS TERMINAIS, INSTALADO EM PAREDE - FORNECIMENTO E INSTALAÇÃO. AF_12/2015</t>
  </si>
  <si>
    <t>91926</t>
  </si>
  <si>
    <t>CABO DE COBRE FLEXÍVEL ISOLADO, 2,5 MM², ANTI-CHAMA 450/750 V, PARA CIRCUITOS TERMINAIS - FORNECIMENTO E INSTALAÇÃO. AF_12/2015</t>
  </si>
  <si>
    <t>12,6000000</t>
  </si>
  <si>
    <t>91937</t>
  </si>
  <si>
    <t>CAIXA OCTOGONAL 3" X 3", PVC, INSTALADA EM LAJE - FORNECIMENTO E INSTALAÇÃO. AF_12/2015</t>
  </si>
  <si>
    <t>0,3750000</t>
  </si>
  <si>
    <t>91940</t>
  </si>
  <si>
    <t>CAIXA RETANGULAR 4" X 2" MÉDIA (1,30 M DO PISO), PVC, INSTALADA EM PAREDE - FORNECIMENTO E INSTALAÇÃO. AF_12/2015</t>
  </si>
  <si>
    <t>91996</t>
  </si>
  <si>
    <t>TOMADA MÉDIA DE EMBUTIR (1 MÓDULO), 2P+T 10 A, INCLUINDO SUPORTE E PLACA - FORNECIMENTO E INSTALAÇÃO. AF_12/2015</t>
  </si>
  <si>
    <t>88247</t>
  </si>
  <si>
    <t>AUXILIAR DE ELETRICISTA COM ENCARGOS COMPLEMENTARES</t>
  </si>
  <si>
    <t>0,0340000</t>
  </si>
  <si>
    <t>88264</t>
  </si>
  <si>
    <t>ELETRICISTA COM ENCARGOS COMPLEMENTARES</t>
  </si>
  <si>
    <t>88248</t>
  </si>
  <si>
    <t>AUXILIAR DE ENCANADOR OU BOMBEIRO HIDRÁULICO COM ENCARGOS COMPLEMENTARES</t>
  </si>
  <si>
    <t>0,0230000</t>
  </si>
  <si>
    <t>0,0550000</t>
  </si>
  <si>
    <t>0,0030000</t>
  </si>
  <si>
    <t>2689</t>
  </si>
  <si>
    <t>ELETRODUTO PVC FLEXIVEL CORRUGADO, COR AMARELA, DE 20 MM</t>
  </si>
  <si>
    <t>1,1000000</t>
  </si>
  <si>
    <t>34562</t>
  </si>
  <si>
    <t>ARAME RECOZIDO 16 BWG, 1,60 MM (0,016 KG/M)</t>
  </si>
  <si>
    <t>0,0016000</t>
  </si>
  <si>
    <t>0,0720000</t>
  </si>
  <si>
    <t>1,0170000</t>
  </si>
  <si>
    <t>0,1290000</t>
  </si>
  <si>
    <t>1014</t>
  </si>
  <si>
    <t>CABO DE COBRE, FLEXIVEL, CLASSE 4 OU 5, ISOLACAO EM PVC/A, ANTICHAMA BWF-B, 1 CONDUTOR, 450/750 V, SECAO NOMINAL 2,5 MM2</t>
  </si>
  <si>
    <t>1,1900000</t>
  </si>
  <si>
    <t>21127</t>
  </si>
  <si>
    <t>FITA ISOLANTE ADESIVA ANTICHAMA, USO ATE 750 V, EM ROLO DE 19 MM X 5 M</t>
  </si>
  <si>
    <t>0,0090000</t>
  </si>
  <si>
    <t>0,0300000</t>
  </si>
  <si>
    <t>1871</t>
  </si>
  <si>
    <t>CAIXA OCTOGONAL DE FUNDO MOVEL, EM PVC, DE 3" X 3", PARA ELETRODUTO FLEXIVEL CORRUGADO</t>
  </si>
  <si>
    <t>0,1430000</t>
  </si>
  <si>
    <t>1872</t>
  </si>
  <si>
    <t>CAIXA DE PASSAGEM, EM PVC, DE 4" X 2", PARA ELETRODUTO FLEXIVEL CORRUGADO</t>
  </si>
  <si>
    <t>0,2470000</t>
  </si>
  <si>
    <t>0,0009000</t>
  </si>
  <si>
    <t>91946</t>
  </si>
  <si>
    <t>SUPORTE PARAFUSADO COM PLACA DE ENCAIXE 4" X 2" MÉDIO (1,30 M DO PISO) PARA PONTO ELÉTRICO - FORNECIMENTO E INSTALAÇÃO. AF_12/2015</t>
  </si>
  <si>
    <t>91994</t>
  </si>
  <si>
    <t>TOMADA MÉDIA DE EMBUTIR (1 MÓDULO), 2P+T 10 A, SEM SUPORTE E SEM PLACA - FORNECIMENTO E INSTALAÇÃO. AF_12/2015</t>
  </si>
  <si>
    <t>93128</t>
  </si>
  <si>
    <t>91924</t>
  </si>
  <si>
    <t>CABO DE COBRE FLEXÍVEL ISOLADO, 1,5 MM², ANTI-CHAMA 450/750 V, PARA CIRCUITOS TERMINAIS - FORNECIMENTO E INSTALAÇÃO. AF_12/2015</t>
  </si>
  <si>
    <t>8,4000000</t>
  </si>
  <si>
    <t>91953</t>
  </si>
  <si>
    <t>INTERRUPTOR SIMPLES (1 MÓDULO), 10A/250V, INCLUINDO SUPORTE E PLACA - FORNECIMENTO E INSTALAÇÃO. AF_12/2015</t>
  </si>
  <si>
    <t>983</t>
  </si>
  <si>
    <t>CABO DE COBRE, RIGIDO, CLASSE 2, ISOLACAO EM PVC/A, ANTICHAMA BWF-B, 1 CONDUTOR, 450/750 V, SECAO NOMINAL 1,5 MM2</t>
  </si>
  <si>
    <t>0,0240000</t>
  </si>
  <si>
    <t>91952</t>
  </si>
  <si>
    <t>INTERRUPTOR SIMPLES (1 MÓDULO), 10A/250V, SEM SUPORTE E SEM PLACA - FORNECIMENTO E INSTALAÇÃO. AF_12/2015</t>
  </si>
  <si>
    <t>COMPOSIÇÃO 6</t>
  </si>
  <si>
    <t>72285/SINAPI</t>
  </si>
  <si>
    <t>370/SINAPI</t>
  </si>
  <si>
    <t>1382/SINAPI</t>
  </si>
  <si>
    <t>4721/SINAPI</t>
  </si>
  <si>
    <t>7271/SINAPI</t>
  </si>
  <si>
    <t>OBRA</t>
  </si>
  <si>
    <t>Cronograma Físico e Financeiro</t>
  </si>
  <si>
    <t>Item</t>
  </si>
  <si>
    <t>Porcentagem</t>
  </si>
  <si>
    <t>Custo</t>
  </si>
  <si>
    <t>Porcentagem Acumulado</t>
  </si>
  <si>
    <t>Custo Acumulado</t>
  </si>
  <si>
    <t>Descrição</t>
  </si>
  <si>
    <t>Peso</t>
  </si>
  <si>
    <t>Total Por Etapa</t>
  </si>
  <si>
    <t>30 DIAS           
(1º MÊS)</t>
  </si>
  <si>
    <t>60 DIAS           
(2º MÊS)</t>
  </si>
  <si>
    <t>90 DIAS             
(3º MÊS)</t>
  </si>
  <si>
    <t>120 DIAS           
(4º MÊS)</t>
  </si>
  <si>
    <t>150 DIAS             
(5º MÊS)</t>
  </si>
  <si>
    <t>180 DIAS             
(6º MÊS)</t>
  </si>
  <si>
    <t>Total de Parcelas</t>
  </si>
  <si>
    <t>4.2.2</t>
  </si>
  <si>
    <t>FORNECIMENTO E INSTALACAO DE MANTA BIDIM RT - 14</t>
  </si>
  <si>
    <t>Execucao de drenos em tubos drenantes, pvc, diam=100 mm</t>
  </si>
  <si>
    <t>EXECUCAO DE DRENOS EM TUBOS DRENANTES, PVC, DIAM=100 MM</t>
  </si>
  <si>
    <t>JOELHO 90 GRAUS, PVC, SOLDÁVEL, DN 32MM, INSTALADO EM RAMAL DE DISTRIBUIÇÃO DE ÁGUA - FORNECIMENTO E INSTALAÇÃO. AF_12/2014</t>
  </si>
  <si>
    <t>TUBO DE PVC SOLDAVEL, SEM CONEXOES 32MM - FORNECIMENTO E
INSTALACAO</t>
  </si>
  <si>
    <t xml:space="preserve"> 75051/003 </t>
  </si>
  <si>
    <t>TE PVC SOLDAVEL COM ROSCA AGUA FRIA 32MMX32MMX3/4" - FORNECIMENTO E INSTALACAO</t>
  </si>
  <si>
    <t>CONJUNTO MOTO-BOMBA SCHNEIDER MOTOR 10CV, TRIFÁSICO (OU SIMILAR)</t>
  </si>
  <si>
    <t>PAINEL ELÉTRICO P/ BOMBA, COM CHAVE DE PARTIDA DIRETA (MANUAL/AUTOMÁTICA), 15 CV, TRIFÁSICO</t>
  </si>
  <si>
    <t>ASPERSOR ROTOR, P/IRRIGAÇÃO REF.8005-SS, ENTRADA ROSCADA DE 1", FÊMEA BSP, COLUNA AÇO INOX, MARCA RAIN BIRD OU SIMILAR</t>
  </si>
  <si>
    <t>JUNTA ARTICULADA SWING JOINT TSJ 1"X1" BSP</t>
  </si>
  <si>
    <t>LIMPEZA MECANIZADA DE TERRENO COM REMOCAO DE CAMADA VEGETAL, UTILIZANDO MOTONIVELADORA</t>
  </si>
  <si>
    <t>73822/002</t>
  </si>
  <si>
    <t xml:space="preserve">LOCAÇÃO DE CONSTRUÇÃO DE EDIFICAÇÃO ATÉ 200m², INCLUSIVE EXECUÇÃO DE GABARITO DE MADEIRA. </t>
  </si>
  <si>
    <t>LOCAÇÃO DE MURO, INCLUSIVE EXECUÇÃO DE GABARITO DE MADEIRA.</t>
  </si>
  <si>
    <t>EXECUÇÃO DE CENTRAL DE ARMADURA EM CANTEIRO DE OBRA, NÃO INCLUSO MOBILIÁRIO E EQUIPAMENTOS. AF_04/2016</t>
  </si>
  <si>
    <t>EXECUÇÃO DE ESCRITÓRIO EM CANTEIRO DE OBRA EM CHAPA DE MADEIRA COMPENSADA, NÃO INCLUSO MOBILIÁRIO E EQUIPAMENTOS. AF_02/2016</t>
  </si>
  <si>
    <t>PLANTIO DE GRAMA EM PLACAS. AF_05/2018</t>
  </si>
  <si>
    <t>ALVENARIA DE VEDAÇÃO DE BLOCOS CERÂMICOS FURADOS NA VERTICAL DE 19X19X39CM (ESPESSURA 19CM) DE PAREDES COM ÁREA LÍQUIDA MAIOR OU IGUAL A 6M² SEM VÃOS E ARGAMASSA DE ASSENTAMENTO COM PREPARO EM BETONEIRA. AF_06/2014</t>
  </si>
  <si>
    <t>ALVENARIA DE VEDAÇÃO DE BLOCOS CERÂMICOS FURADOS NA HORIZONTAL DE 9X14X19CM (ESPESSURA 9CM) DE PAREDES COM ÁREA LÍQUIDA MAIOR OU IGUAL A 6M² SEM VÃOS E ARGAMASSA DE ASSENTAMENTO COM PREPARO EM BETONEIRA. AF_06/2014</t>
  </si>
  <si>
    <t>CHAPISCO APLICADO EM ALVENARIA (SEM PRESENÇA DE VÃOS) E ESTRUTURAS DE CONCRETO DE FACHADA, COM COLHER DE PEDREIRO. ARGAMASSA TRAÇO 1:3 COM PREPARO EM BETONEIRA 400L.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</si>
  <si>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</si>
  <si>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FERTILIZANTE NPK - 4: 14: 8</t>
  </si>
  <si>
    <t>FERTILIZANTE ORGANICO COMPOSTO, CLASSE A</t>
  </si>
  <si>
    <r>
      <t>Regularização, nivelamento e espalhamento da mistura fértil orgânica</t>
    </r>
    <r>
      <rPr>
        <b/>
        <sz val="12"/>
        <color rgb="FF000000"/>
        <rFont val="Times New Roman"/>
        <family val="1"/>
      </rPr>
      <t xml:space="preserve"> - Incluindo adulbo - altura = 20cm</t>
    </r>
  </si>
  <si>
    <t>REGULARIZAÇÃO, NIVELAMENTO E ESPALHAMENTO DA MISTURA FÉRTIL ORGÂNICA - INCLUINDO ADULBO - ALTURA = 20CM</t>
  </si>
  <si>
    <t>PISO INDUSTRIAL DE ALTA RESISTENCIA, ESPESSURA 8MM, INCLUSO JUNTAS DE DILATACAO PLASTICAS E POLIMENTO MECANIZADO</t>
  </si>
  <si>
    <t>LASTRO DE CONCRETO, PREPARO MECÂNICO, INCLUSOS ADITIVO IMPERMEABILIZANTE, LANÇAMENTO E ADENSAMENTO</t>
  </si>
  <si>
    <t>ALAMBRADO PARA QUADRA POLIESPORTIVA, ESTRUTURADO POR TUBOS DE ACO GALVANIZADO, COM COSTURA, DIN 2440, DIAMETRO 2", COM TELA DE ARAME GALVANIZADO, FIO 14 BWG E MALHA QUADRADA 5X5CM</t>
  </si>
  <si>
    <t>74244/001</t>
  </si>
  <si>
    <t>SERRALHEIRO COM ENCARGOS COMPLEMENTARES</t>
  </si>
  <si>
    <t>TELA DE ARAME GALV QUADRANGULAR / LOSANGULAR, FIO 2,11 MM (14 BWG), MALHA 5 X 5 CM, H = 2 M</t>
  </si>
  <si>
    <t>TUBO ACO GALVANIZADO COM COSTURA, CLASSE MEDIA, DN 2", E = *3,65* MM, PESO *5,10* KG/M (NBR 5580)</t>
  </si>
  <si>
    <t xml:space="preserve">ALTURA </t>
  </si>
  <si>
    <t xml:space="preserve">LARGURA </t>
  </si>
  <si>
    <t xml:space="preserve">COMPRIMENTO </t>
  </si>
  <si>
    <t xml:space="preserve">QUANTIDADE </t>
  </si>
  <si>
    <t xml:space="preserve">PONTOS </t>
  </si>
  <si>
    <t>Altura 01 = 5,00m</t>
  </si>
  <si>
    <t>PORTAO DE FERRO EM CHAPA GALVANIZADA PLANA 14 GSG</t>
  </si>
  <si>
    <t xml:space="preserve">MEMORIAL DE CALCULO </t>
  </si>
  <si>
    <t>INSTALAÇÕES HIDROSSANITÁRIAS</t>
  </si>
  <si>
    <t xml:space="preserve">SIFAO PLASTICO TIPO COPO PARA PIA OU LAVATORIO, 1 X 1.1/2 " </t>
  </si>
  <si>
    <t>pt</t>
  </si>
  <si>
    <t>BOMBA CENTRIFUGA COM MOTOR ELETRICO MONOFASICO, POTENCIA 0,33 HP, BOCAIS 1" X 3/4", DIAMETRO DO ROTOR 99 MM, HM/Q = 4 MCA / 8,5 M3/H A 18 MCA / 0,90 M3/H</t>
  </si>
  <si>
    <t>LOUÇAS E METAIS</t>
  </si>
  <si>
    <t>ASSENTO PLÁSTICO P/ BACIA SANITÁRIA</t>
  </si>
  <si>
    <t xml:space="preserve">VASO SANITARIO SIFONADO CONVENCIONAL COM  LOUÇA BRANCA </t>
  </si>
  <si>
    <t xml:space="preserve">LAVATORIO/CUBA DE EMBUTIR OVAL LOUCA BRANCA SEM LADRAO *50 </t>
  </si>
  <si>
    <t>TORNEIRA CROMADA DE MESA PARA LAVATORIO, PADRAO POPULAR, 1/2 " OU 3/4 " (REF 1193)</t>
  </si>
  <si>
    <t>ENGATE/RABICHO FLEXIVEL PLASTICO (PVC OU ABS) BRANCO 1/2 " X 40 CM</t>
  </si>
  <si>
    <t xml:space="preserve">  74234/00</t>
  </si>
  <si>
    <t>MICTORIO SIFONADO DE LOUCA BRANCA COM PERTENCES, COM REGISTRO DE PRESSAO 1/2" COM CANOPLA CROMADA ACABAMENTO SIMPLES E CONJUNTO PARA FIXACAO</t>
  </si>
  <si>
    <t>BANCADA  EM GRANITO CINZA L=60CM</t>
  </si>
  <si>
    <t>CISTERNA EM ALVENARIA DE 1 VEZ</t>
  </si>
  <si>
    <t>Comprimento total:</t>
  </si>
  <si>
    <t>Escavação das 3 valas de infiltração: 1x1,5x15m</t>
  </si>
  <si>
    <t>COMPOSIÇÃO 8</t>
  </si>
  <si>
    <t>BASE</t>
  </si>
  <si>
    <t>ALVENARIA EM TIJOLO CERAMICO MACICO 5X10X20CM 1 VEZ (ESPESSURA 20CM), ASSE M2
NTADO COM ARGAMASSA TRACO 1:2:8 (CIMENTO, CAL E AREIA)</t>
  </si>
  <si>
    <t>M2</t>
  </si>
  <si>
    <t>74141/001</t>
  </si>
  <si>
    <t>LAJE PRE-MOLD BETA 11 P/1KN/M2 VAOS 4,40M/INCL VIGOTAS TIJOLOS ARMADURA NEGATIVA CAPEAMENTO 3CM CONCRETO 20MPA ESCORAMENTO MATERIAL E MAO DE OBRA.</t>
  </si>
  <si>
    <t>CHAPISCO APLICADO EM ALVENARIA (SEM PRESENÇA DE VÃOS) E ESTRUTURAS DE CONCRETO DE FACHADA, COM COLHER DE PEDREIRO. ARGAMASSA TRAÇO 1:3 COM PREPARO MANUAL. AF_06/2014</t>
  </si>
  <si>
    <t xml:space="preserve">REBOCO ARGAMASSA TRAÇO 1:4,5 (CAL E AREIA FINA) </t>
  </si>
  <si>
    <t>CALÇADA E RAMPA</t>
  </si>
  <si>
    <t>EXECUÇÃO DE PASSEIO (CALÇADA) OU PISO DE CONCRETO COM CONCRETO MOLDADO IN LOCO, FEITO EM OBRA, ACABAMENTO CONVENCIONAL, NÃO ARMADO. AF_07/2016</t>
  </si>
  <si>
    <t>GUARDA-CORPO COM CORRIMAO EM TUBO DE ACO GALVANIZADO 1 1/2"</t>
  </si>
  <si>
    <t>7.1</t>
  </si>
  <si>
    <t>7.2</t>
  </si>
  <si>
    <t>7.3</t>
  </si>
  <si>
    <t>SUB-TOTAL ITEM 7</t>
  </si>
  <si>
    <t>Área x espessura p/calçada</t>
  </si>
  <si>
    <t>COMPOSIÇÃO 9</t>
  </si>
  <si>
    <t xml:space="preserve">EXECUÇÃO E COMPACTAÇÃO DE ATERRO COM SOLO PREDOMINANTEMENTE ARGILOSO - INCLUSIVE CARGA E TRANSPORTE E SOLO. </t>
  </si>
  <si>
    <t>M³</t>
  </si>
  <si>
    <t xml:space="preserve">PREÇO REGIÃO </t>
  </si>
  <si>
    <t>AQUISIÇÃO DE MATERIAL ARGILOSO COM TRANSPORTE (REGIÃO DO MUNICÍPIO)</t>
  </si>
  <si>
    <t>PLACA DE OBRA EM CHAPA DE ACO GALVANIZADO</t>
  </si>
  <si>
    <t>74209/001</t>
  </si>
  <si>
    <t>Seção do pilar 0,03m² / Seção da Cinta 0,02m²</t>
  </si>
  <si>
    <t>(COMPOSIÇÃO REPRESENTATIVA) DO SERVIÇO DE REVESTIMENTO CERÂMICO PARA AMBIENTES DE ÁREAS MOLHADAS, MEIA PAREDE OU PAREDE INTEIRA, COM PLACAS TIPO GRÊS OU SEMI-GRÊS, DIMENSÕES 20X20 CM, PARA EDIFICAÇÃO HABITACIONAL MULTIFAMILIAR (PRÉDIO). AF_11/2014</t>
  </si>
  <si>
    <t>Und.</t>
  </si>
  <si>
    <t>LUMINÁRIA TIPO CALHA, DE SOBREPOR, COM 2 LÂMPADAS TUBULARES DE 18 W - FORNECIMENTO E INSTALAÇÃO. AF_11/2017</t>
  </si>
  <si>
    <t>CABO DE COBRE FLEXÍVEL ISOLADO, 10 MM², ANTI-CHAMA 450/750 V, PARA DISTRIBUIÇÃO - FORNECIMENTO E INSTALAÇÃO. AF_12/2015</t>
  </si>
  <si>
    <t>CABO DE COBRE FLEXÍVEL ISOLADO, 16 MM², ANTI-CHAMA 0,6/1,0 KV, PARA DISTRIBUIÇÃO - FORNECIMENTO E INSTALAÇÃO. AF_12/2015</t>
  </si>
  <si>
    <t>CABO DE COBRE FLEXÍVEL ISOLADO, 4 MM², ANTI-CHAMA 450/750 V, PARA CIRCUITOS TERMINAIS - FORNECIMENTO E INSTALAÇÃO. AF_12/2015</t>
  </si>
  <si>
    <t xml:space="preserve"> QUADRO DE DISTRIBUICAO DE ENERGIA DE EMBUTIR, EM CHAPA METALICA, PARA 18 DISJUNTORES TERMOMAGNETICOS MONOPOLARES, COM BARRAMENTO TRIFASICO E NEUTRO, FORNECIMENTO E INSTALACAO</t>
  </si>
  <si>
    <t>74131/004</t>
  </si>
  <si>
    <t>DISJUNTOR MONOPOLAR TIPO DIN, CORRENTE NOMINAL DE 10A - FORNECIMENTO E INSTALAÇÃO. AF_04/2016</t>
  </si>
  <si>
    <t>DISJUNTOR MONOPOLAR TIPO DIN, CORRENTE NOMINAL DE 16A - FORNECIMENTO E INSTALAÇÃO. AF_04/2016</t>
  </si>
  <si>
    <t>DISJUNTOR MONOPOLAR TIPO DIN, CORRENTE NOMINAL DE 20A - FORNECIMENTO E INSTALAÇÃO. AF_04/2016</t>
  </si>
  <si>
    <t>DISJUNTOR TERMOMAGNETICO TRIPOLAR PADRAO NEMA (AMERICANO) 10 A 50A 240V, FORNECIMENTO E INSTALACAO</t>
  </si>
  <si>
    <t>74130/004</t>
  </si>
  <si>
    <t xml:space="preserve"> PONTO DE CONSUMO TERMINAL DE ÁGUA FRIA (SUBRAMAL) COM TUBULAÇÃO DE PVC, DN 25 MM, INSTALADO EM RAMAL DE ÁGUA, INCLUSOS RASGO E CHUMBAMENTO EM ALVENARIA. AF_12/2014</t>
  </si>
  <si>
    <t>PONTO DE ESGOTO COM TUBO DE PVC RÍGIDO SOLDAVEL DE 40mm</t>
  </si>
  <si>
    <t>PONTO DE ESGOTO COM TUBO DE PVC RÍGIDO SOLDAVEL DE 100mm</t>
  </si>
  <si>
    <t>PONTO DE ESGOTO COM TUBO DE PVC RÍGIDO SOLDAVEL DE 50mm</t>
  </si>
  <si>
    <t>CAIXA D´ÁGUA EM POLIETILENO, 1000 LITROS, COM ACESSÓRIOS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</si>
  <si>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</si>
  <si>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FILTRO ANAERÓBIO RETANGULAR, EM ALVENARIA COM BLOCOS DE CONCRETO, DIMENSÕES INTERNAS: 1,6 X 5,6 X 1,67 M, VOLUME ÚTIL: 10752 L (PARA 103 CONTRIBUINTES). AF_05/2018</t>
  </si>
  <si>
    <t>TANQUE SÉPTICO RETANGULAR, EM ALVENARIA COM BLOCOS DE CONCRETO, DIMENSÕES INTERNAS: 1,6 X 4,4 X 1,8 M, VOLUME ÚTIL: 9856 L (PARA 68 CONTRIBUINTES). AF_05/2018</t>
  </si>
  <si>
    <t>ESCAVAÇÃO MECANIZADA DE VALA COM PROF. DE 3,0 M ATÉ 4,5 M(MÉDIA ENTRE MONTANTE E JUSANTE/UMA COMPOSIÇÃO POR TRECHO), COM ESCAVADEIRA HIDRÁULICA (1,2 M3/155 HP), LARG. DE 1,5 M A 2,5 M, EM SOLO DE 1A CATEGORIA, EM LOCAIS COM ALTO NÍVEL DE INTERFERÊNCIA. AF_01/2015</t>
  </si>
  <si>
    <t>TUBO DE PVC PARA REDE COLETORA DE ESGOTO DE PAREDE MACIÇA, DN 100 MM, JUNTA ELÁSTICA, INSTALADO EM LOCAL COM NÍVEL BAIXO DE INTERFERÊNCIAS - FORNECIMENTO E ASSENTAMENTO. AF_06/2015</t>
  </si>
  <si>
    <t>VASO SANITÁRIO SIFONADO COM CAIXA ACOPLADA LOUÇA BRANCA - PADRÃO MÉDIO, INCLUSO ENGATE FLEXÍVEL EM METAL CROMADO, 1/2 X 40CM - FORNECIMENTO E INSTALAÇÃO. AF_12/2013</t>
  </si>
  <si>
    <t>GRANITOS</t>
  </si>
  <si>
    <t>ASSENTAMENTO DE GUIA (MEIO-FIO) EM TRECHO RETO, CONFECCIONADA EM CONCRETO PRÉ-FABRICADO, DIMENSÕES 100X15X13X20 CM (COMPRIMENTO X BASE INFERIOR X BASE SUPERIOR X ALTURA), PARA URBANIZAÇÃO INTERNA DE EMPREENDIMENTOS. AF_06/2016_P</t>
  </si>
  <si>
    <t>4.4</t>
  </si>
  <si>
    <t>4.4.1</t>
  </si>
  <si>
    <t>4.4.2</t>
  </si>
  <si>
    <t>4.5</t>
  </si>
  <si>
    <t>4.5.1</t>
  </si>
  <si>
    <t>4.5.2</t>
  </si>
  <si>
    <t>5.0</t>
  </si>
  <si>
    <t>6.0</t>
  </si>
  <si>
    <t>7.0</t>
  </si>
  <si>
    <t>SUB-TOTAL ITEM 4.4</t>
  </si>
  <si>
    <t>SUB-TOTAL ITEM 4.5</t>
  </si>
  <si>
    <t>SUB-TOTAL ITEM 6.1</t>
  </si>
  <si>
    <t>SUB-TOTAL ITEM 6.2</t>
  </si>
  <si>
    <t>SUB-TOTAL ITEM 6.3</t>
  </si>
  <si>
    <t>SUB-TOTAL ITEM 6.4</t>
  </si>
  <si>
    <t>SUB-TOTAL ITEM 6.5</t>
  </si>
  <si>
    <t>SUB-TOTAL ITEM 6.6</t>
  </si>
  <si>
    <t>SUB-TOTAL ITEM 6.7</t>
  </si>
  <si>
    <t>SUB-TOTAL ITEM 6.8</t>
  </si>
  <si>
    <t>SUB-TOTAL ITEM 6.9</t>
  </si>
  <si>
    <t>SUB-TOTAL ITEM 6.10</t>
  </si>
  <si>
    <t>SUB-TOTAL ITEM 6.11</t>
  </si>
  <si>
    <t>SUB-TOTAL ITEM 8</t>
  </si>
  <si>
    <t>Porta em madeira compensada (canela), lisa, semi-ôca, (0.60 x 1,60 a 1.80m) , revestida c/fórmica, inclusive batentes e ferragens (livre/ocupado)</t>
  </si>
  <si>
    <t>PORTA EM ALUMÍNIO DE ABRIR TIPO VENEZIANA COM GUARNIÇÃO, FIXAÇÃO COM PARAFUSOS - FORNECIMENTO E INSTALAÇÃO. AF_08/2015</t>
  </si>
  <si>
    <t>Divisria em granito cinza andorinha para mictrios, polido, e=2cm, inclusive fixao - Rev 02</t>
  </si>
  <si>
    <t>CONSTRUÇÃO DO ESTÁDIO DE FEIRA GRANDE</t>
  </si>
  <si>
    <t xml:space="preserve">FEIRA GRANDE - ALAGOAS </t>
  </si>
  <si>
    <t>PLACA DE OBRA (PARA CONSTRUCAO CIVIL) EM CHAPA GALVANIZADA *N. 22*, ADESIVADA, DE *2,0 X 1,125* M</t>
  </si>
  <si>
    <t>LOCACAO CONVENCIONAL DE OBRA, UTILIZANDO GABARITO DE TÁBUAS CORRIDAS PONTALETADAS A CADA 2,00M - 2 UTILIZAÇÕES. AF_10/2018</t>
  </si>
  <si>
    <t>PINTURA COM TINTA ALQUÍDICA DE ACABAMENTO (ESMALTE SINTÉTICO ACETINADO) APLICADA A ROLO OU PINCEL SOBRE SUPERFÍCIES METÁLICAS (EXCETO PERFIL) EXECUTADO EM OBRA (02 DEMÃOS). AF_01/2020</t>
  </si>
  <si>
    <t>Portão de ferro de abrir, quadro em tubo de aço galv.1 1/2", barra quadrada 1/2" na vertical e barra chata de 1 x 3/16" na horizontal, inclusive dobradiças e e ferrolho</t>
  </si>
  <si>
    <t>162 BLOCOS</t>
  </si>
  <si>
    <t>162 Pilares</t>
  </si>
  <si>
    <t xml:space="preserve">OS DOIS LADOS </t>
  </si>
  <si>
    <t xml:space="preserve">DOIS PORTÕES </t>
  </si>
  <si>
    <t>BILHETERIA, BANHEIROS, VESTIÁRIOS E ADMINISTRAÇÃO</t>
  </si>
  <si>
    <t>4 bancadas de 2,45x 0,5m p/2 banheiros</t>
  </si>
  <si>
    <t>Altura 02 = 2,80m</t>
  </si>
  <si>
    <t>Comprimento 01 = 256,34m</t>
  </si>
  <si>
    <t>Comprimento 02 = 64,34m</t>
  </si>
  <si>
    <t>CALÇADA</t>
  </si>
  <si>
    <t>2.1</t>
  </si>
  <si>
    <t>2.1.1</t>
  </si>
  <si>
    <t>2.1.2</t>
  </si>
  <si>
    <t>2.1.3</t>
  </si>
  <si>
    <t>2.1.4</t>
  </si>
  <si>
    <t>2.2</t>
  </si>
  <si>
    <t>2.2.1</t>
  </si>
  <si>
    <t>2.2.2</t>
  </si>
  <si>
    <t>2.3</t>
  </si>
  <si>
    <t>2.3.1</t>
  </si>
  <si>
    <t>2.3.2</t>
  </si>
  <si>
    <t>2.4</t>
  </si>
  <si>
    <t>2.4.1</t>
  </si>
  <si>
    <t>2.4.2</t>
  </si>
  <si>
    <t>2.5</t>
  </si>
  <si>
    <t>2.5.1</t>
  </si>
  <si>
    <t>3.0</t>
  </si>
  <si>
    <t>3.1</t>
  </si>
  <si>
    <t>3.1.1</t>
  </si>
  <si>
    <t>3.1.2</t>
  </si>
  <si>
    <t>3.1.5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</si>
  <si>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</si>
  <si>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</si>
  <si>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</si>
  <si>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</si>
  <si>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</si>
  <si>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</si>
  <si>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</si>
  <si>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</si>
  <si>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</si>
  <si>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3.3.1</t>
  </si>
  <si>
    <t>3.3.2</t>
  </si>
  <si>
    <t>4.0</t>
  </si>
  <si>
    <t>4.1.5</t>
  </si>
  <si>
    <t>4.1.6</t>
  </si>
  <si>
    <t>4.2.3</t>
  </si>
  <si>
    <t>4.4.3</t>
  </si>
  <si>
    <t>4.5.3</t>
  </si>
  <si>
    <t>4.6</t>
  </si>
  <si>
    <t>4.6.1</t>
  </si>
  <si>
    <t>4.6.2</t>
  </si>
  <si>
    <t>4.6.3</t>
  </si>
  <si>
    <t>4.7</t>
  </si>
  <si>
    <t>4.7.1</t>
  </si>
  <si>
    <t>4.7.2</t>
  </si>
  <si>
    <t>4.7.3</t>
  </si>
  <si>
    <t>4.7.4</t>
  </si>
  <si>
    <t>4.7.5</t>
  </si>
  <si>
    <t>4.8</t>
  </si>
  <si>
    <t>4.8.1</t>
  </si>
  <si>
    <t>4.8.2</t>
  </si>
  <si>
    <t>4.8.3</t>
  </si>
  <si>
    <t>4.8.4</t>
  </si>
  <si>
    <t>4.8.5</t>
  </si>
  <si>
    <t>4.8.6</t>
  </si>
  <si>
    <t>4.8.7</t>
  </si>
  <si>
    <t>4.8.8</t>
  </si>
  <si>
    <t>4.8.9</t>
  </si>
  <si>
    <t>4.8.10</t>
  </si>
  <si>
    <t>4.8.11</t>
  </si>
  <si>
    <t>4.9</t>
  </si>
  <si>
    <t>4.9.1</t>
  </si>
  <si>
    <t>4.9.2</t>
  </si>
  <si>
    <t>4.9.3</t>
  </si>
  <si>
    <t>4.9.4</t>
  </si>
  <si>
    <t>4.9.5</t>
  </si>
  <si>
    <t>4.9.6</t>
  </si>
  <si>
    <t>4.9.7</t>
  </si>
  <si>
    <t>4.9.8</t>
  </si>
  <si>
    <t>4.9.9</t>
  </si>
  <si>
    <t>4.9.10</t>
  </si>
  <si>
    <t>4.9.11</t>
  </si>
  <si>
    <t>4.9.12</t>
  </si>
  <si>
    <t>4.9.13</t>
  </si>
  <si>
    <t>4.9.14</t>
  </si>
  <si>
    <t>4.9.15</t>
  </si>
  <si>
    <t>4.9.16</t>
  </si>
  <si>
    <t>4.9.17</t>
  </si>
  <si>
    <t>4.10</t>
  </si>
  <si>
    <t>4.10.1</t>
  </si>
  <si>
    <t>4.10.2</t>
  </si>
  <si>
    <t>4.10.3</t>
  </si>
  <si>
    <t>4.10.4</t>
  </si>
  <si>
    <t>4.10.5</t>
  </si>
  <si>
    <t>4.10.6</t>
  </si>
  <si>
    <t>4.11</t>
  </si>
  <si>
    <t>4.11.1</t>
  </si>
  <si>
    <t>4.11.2</t>
  </si>
  <si>
    <t>ARQUIBANCADA</t>
  </si>
  <si>
    <t xml:space="preserve">TOTAL DE 12 BLOCOS POR ARQUIBANCADA </t>
  </si>
  <si>
    <t xml:space="preserve">VIGA BALDRAME </t>
  </si>
  <si>
    <t xml:space="preserve">QUATRO ARQUIBANCADAS </t>
  </si>
  <si>
    <t>SEÇÃO DO PILAR = 0,06M²</t>
  </si>
  <si>
    <t>TOTAL DE 12 PILARES POR ARQUIBANCADA</t>
  </si>
  <si>
    <t>SEÇÃO DA VIGA = 0,06M²</t>
  </si>
  <si>
    <t xml:space="preserve">TOTAL DE 4 VIGAS POR ARQUIBANCADA </t>
  </si>
  <si>
    <t xml:space="preserve">4 ARQUIBANCADAS </t>
  </si>
  <si>
    <t>7.1.1</t>
  </si>
  <si>
    <t>7.1.2</t>
  </si>
  <si>
    <t>7.1.3</t>
  </si>
  <si>
    <t>7.1.4</t>
  </si>
  <si>
    <t>7.2.1</t>
  </si>
  <si>
    <t>7.2.2</t>
  </si>
  <si>
    <t>7.2.3</t>
  </si>
  <si>
    <t>7.4</t>
  </si>
  <si>
    <t>7.4.1</t>
  </si>
  <si>
    <t>7.3.1</t>
  </si>
  <si>
    <t>7.3.2</t>
  </si>
  <si>
    <t xml:space="preserve">TOTAL </t>
  </si>
  <si>
    <t>ESTADO DE ALAGOAS
PREFEITURA MUNICIPAL DE FEIRA GRANDE – ALAGOAS
Rua 7 de Setembro  nº 15 – Centro – CEP 57340-000 – CNPJ 12.207.528/0001-15</t>
  </si>
  <si>
    <t>3.3</t>
  </si>
  <si>
    <t>ALVENARIA DE VEDAÇÃO DE BLOCOS CERÂMICOS FURADOS NA HORIZONTAL DE 9X19X19 CM (ESPESSURA 9 CM) E ARGAMASSA DE ASSENTAMENTO COM PREPARO EM BETONEIRA. AF_12/2021</t>
  </si>
  <si>
    <t>(COMPOSIÇÃO REPRESENTATIVA) EXECUÇÃO DE ESTRUTURAS DE CONCRETO ARMADO, PARA EDIFICAÇÃO INSTITUCIONAL TÉRREA, FCK = 25 MPA. AF_01/2017</t>
  </si>
  <si>
    <t xml:space="preserve">	DRENO ESPINHA DE PEIXE (SEÇÃO (0,40 X 0,40 M), COM TUBO DE PEAD CORRUGADO PERFURADO, DN 100 MM, ENCHIMENTO COM BRITA, ENVOLVIDO COM MANTA GEOTÊXTIL, INCLUSIVE CONEXÕES. AF_07/2021</t>
  </si>
  <si>
    <t>ASSENTO SANITÁRIO CONVENCIONAL - FORNECIMENTO E INSTALACAO. AF_01/2020</t>
  </si>
  <si>
    <t>CUBA DE EMBUTIR OVAL EM LOUÇA BRANCA, 35 X 50CM OU EQUIVALENTE - FORNECIMENTO E INSTALAÇÃO. AF_01/2020</t>
  </si>
  <si>
    <t>TORNEIRA CROMADA DE MESA, 1/2 OU 3/4, PARA LAVATÓRIO, PADRÃO MÉDIO - FORNECIMENTO E INSTALAÇÃO. AF_01/2020</t>
  </si>
  <si>
    <t xml:space="preserve">	MICTÓRIO SIFONADO LOUÇA BRANCA  PADRÃO MÉDIO  FORNECIMENTO E INSTALAÇÃO. AF_01/2020</t>
  </si>
  <si>
    <t>DIVISORIA SANITÁRIA, TIPO CABINE, EM GRANITO CINZA POLIDO, ESP = 3CM, ASSENTADO COM ARGAMASSA COLANTE AC III-E, EXCLUSIVE FERRAGENS. AF_01/2021</t>
  </si>
  <si>
    <t xml:space="preserve">	ALAMBRADO PARA QUADRA POLIESPORTIVA, ESTRUTURADO POR TUBOS DE ACO GALVANIZADO, (MONTANTES COM DIAMETRO 2", TRAVESSAS E ESCORAS COM DIÂMETRO 1 ¼), COM TELA DE ARAME GALVANIZADO, FIO 14 BWG E MALHA QUADRADA 5X5CM (EXCETO MURETA). AF_03/2021</t>
  </si>
  <si>
    <t>DATA: JULHO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</si>
</sst>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mm/yy"/>
    <numFmt numFmtId="166" formatCode="0.0000"/>
    <numFmt numFmtId="167" formatCode="0.000"/>
    <numFmt numFmtId="168" formatCode="_(* #,##0.00_);_(* \(#,##0.00\);_(* \-??_);_(@_)"/>
    <numFmt numFmtId="169" formatCode="&quot;R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Calibri"/>
      <family val="2"/>
    </font>
    <font>
      <b/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Arial"/>
      <family val="2"/>
    </font>
    <font>
      <b/>
      <sz val="12"/>
      <name val="Arial"/>
      <family val="1"/>
    </font>
    <font>
      <b/>
      <sz val="14"/>
      <name val="Arial"/>
      <family val="2"/>
    </font>
    <font>
      <b/>
      <sz val="11"/>
      <name val="Arial"/>
      <family val="1"/>
    </font>
    <font>
      <b/>
      <sz val="8"/>
      <name val="Arial"/>
      <family val="1"/>
    </font>
    <font>
      <sz val="8"/>
      <name val="Arial"/>
      <family val="1"/>
    </font>
    <font>
      <b/>
      <sz val="8"/>
      <name val="Arial"/>
      <family val="2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 tint="-0.34998626667073579"/>
        <bgColor rgb="FF00808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008080"/>
      </patternFill>
    </fill>
    <fill>
      <patternFill patternType="solid">
        <fgColor indexed="9"/>
        <bgColor indexed="8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ill="0" applyBorder="0" applyAlignment="0" applyProtection="0"/>
    <xf numFmtId="0" fontId="2" fillId="0" borderId="0"/>
    <xf numFmtId="168" fontId="2" fillId="0" borderId="0" applyBorder="0" applyProtection="0"/>
    <xf numFmtId="0" fontId="2" fillId="0" borderId="0"/>
    <xf numFmtId="168" fontId="2" fillId="0" borderId="0" applyBorder="0" applyProtection="0"/>
    <xf numFmtId="0" fontId="2" fillId="0" borderId="0"/>
    <xf numFmtId="168" fontId="2" fillId="0" borderId="0" applyBorder="0" applyProtection="0"/>
    <xf numFmtId="0" fontId="12" fillId="0" borderId="0"/>
    <xf numFmtId="0" fontId="26" fillId="0" borderId="0"/>
  </cellStyleXfs>
  <cellXfs count="33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49" fontId="4" fillId="9" borderId="1" xfId="4" applyNumberFormat="1" applyFont="1" applyFill="1" applyBorder="1" applyAlignment="1">
      <alignment horizontal="center" vertical="center"/>
    </xf>
    <xf numFmtId="0" fontId="4" fillId="9" borderId="1" xfId="4" applyFont="1" applyFill="1" applyBorder="1" applyAlignment="1">
      <alignment horizontal="center" vertical="center"/>
    </xf>
    <xf numFmtId="168" fontId="4" fillId="9" borderId="1" xfId="5" applyFont="1" applyFill="1" applyBorder="1" applyAlignment="1">
      <alignment horizontal="center" vertical="center" wrapText="1"/>
    </xf>
    <xf numFmtId="168" fontId="4" fillId="9" borderId="2" xfId="5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3" fontId="4" fillId="5" borderId="1" xfId="1" applyFont="1" applyFill="1" applyBorder="1" applyAlignment="1">
      <alignment horizontal="center" vertical="center"/>
    </xf>
    <xf numFmtId="43" fontId="4" fillId="5" borderId="2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7" borderId="1" xfId="1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/>
    </xf>
    <xf numFmtId="43" fontId="5" fillId="7" borderId="1" xfId="1" applyFont="1" applyFill="1" applyBorder="1" applyAlignment="1">
      <alignment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3" fontId="5" fillId="6" borderId="1" xfId="1" applyFont="1" applyFill="1" applyBorder="1" applyAlignment="1">
      <alignment vertical="center"/>
    </xf>
    <xf numFmtId="44" fontId="5" fillId="6" borderId="1" xfId="2" applyFont="1" applyFill="1" applyBorder="1" applyAlignment="1">
      <alignment vertical="center"/>
    </xf>
    <xf numFmtId="44" fontId="5" fillId="7" borderId="1" xfId="2" applyFont="1" applyFill="1" applyBorder="1" applyAlignment="1">
      <alignment vertical="center"/>
    </xf>
    <xf numFmtId="44" fontId="5" fillId="0" borderId="1" xfId="2" applyFont="1" applyBorder="1" applyAlignment="1">
      <alignment vertical="center"/>
    </xf>
    <xf numFmtId="0" fontId="6" fillId="11" borderId="1" xfId="0" applyFont="1" applyFill="1" applyBorder="1"/>
    <xf numFmtId="0" fontId="6" fillId="11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justify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2" fontId="5" fillId="7" borderId="1" xfId="1" applyNumberFormat="1" applyFont="1" applyFill="1" applyBorder="1" applyAlignment="1">
      <alignment horizontal="right" vertical="center"/>
    </xf>
    <xf numFmtId="44" fontId="5" fillId="4" borderId="1" xfId="2" applyFont="1" applyFill="1" applyBorder="1" applyAlignment="1">
      <alignment vertical="center"/>
    </xf>
    <xf numFmtId="0" fontId="7" fillId="4" borderId="1" xfId="0" applyFont="1" applyFill="1" applyBorder="1" applyAlignment="1">
      <alignment wrapText="1"/>
    </xf>
    <xf numFmtId="44" fontId="4" fillId="0" borderId="1" xfId="2" applyFont="1" applyBorder="1" applyAlignment="1">
      <alignment vertical="center"/>
    </xf>
    <xf numFmtId="164" fontId="4" fillId="8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4" fillId="12" borderId="5" xfId="6" applyFont="1" applyFill="1" applyBorder="1" applyAlignment="1">
      <alignment horizontal="center"/>
    </xf>
    <xf numFmtId="0" fontId="4" fillId="12" borderId="5" xfId="6" applyFont="1" applyFill="1" applyBorder="1" applyAlignment="1">
      <alignment vertical="center"/>
    </xf>
    <xf numFmtId="168" fontId="4" fillId="12" borderId="5" xfId="7" applyFont="1" applyFill="1" applyBorder="1" applyAlignment="1">
      <alignment horizontal="right" vertical="center"/>
    </xf>
    <xf numFmtId="0" fontId="4" fillId="12" borderId="1" xfId="6" applyFont="1" applyFill="1" applyBorder="1" applyAlignment="1">
      <alignment vertical="center"/>
    </xf>
    <xf numFmtId="168" fontId="5" fillId="0" borderId="0" xfId="5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12" borderId="5" xfId="8" applyFont="1" applyFill="1" applyBorder="1" applyAlignment="1">
      <alignment horizontal="center"/>
    </xf>
    <xf numFmtId="0" fontId="4" fillId="12" borderId="5" xfId="8" applyFont="1" applyFill="1" applyBorder="1" applyAlignment="1">
      <alignment vertical="center"/>
    </xf>
    <xf numFmtId="168" fontId="4" fillId="12" borderId="5" xfId="9" applyFont="1" applyFill="1" applyBorder="1" applyAlignment="1">
      <alignment horizontal="right" vertical="center"/>
    </xf>
    <xf numFmtId="0" fontId="4" fillId="7" borderId="1" xfId="0" applyFont="1" applyFill="1" applyBorder="1" applyAlignment="1">
      <alignment vertical="center"/>
    </xf>
    <xf numFmtId="164" fontId="5" fillId="8" borderId="1" xfId="1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167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166" fontId="9" fillId="3" borderId="1" xfId="0" applyNumberFormat="1" applyFont="1" applyFill="1" applyBorder="1" applyAlignment="1">
      <alignment horizontal="right" vertical="center" wrapText="1"/>
    </xf>
    <xf numFmtId="167" fontId="9" fillId="3" borderId="1" xfId="0" applyNumberFormat="1" applyFont="1" applyFill="1" applyBorder="1" applyAlignment="1">
      <alignment horizontal="center" vertical="center" wrapText="1"/>
    </xf>
    <xf numFmtId="167" fontId="11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9" fillId="3" borderId="1" xfId="0" applyFont="1" applyFill="1" applyBorder="1" applyAlignment="1">
      <alignment horizontal="center" vertical="center"/>
    </xf>
    <xf numFmtId="0" fontId="15" fillId="13" borderId="1" xfId="1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7" borderId="5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7" borderId="5" xfId="0" applyFont="1" applyFill="1" applyBorder="1" applyAlignment="1">
      <alignment vertical="center"/>
    </xf>
    <xf numFmtId="0" fontId="0" fillId="0" borderId="0" xfId="0" applyFill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3" fontId="5" fillId="8" borderId="3" xfId="1" applyFont="1" applyFill="1" applyBorder="1" applyAlignment="1">
      <alignment vertical="center"/>
    </xf>
    <xf numFmtId="168" fontId="4" fillId="12" borderId="1" xfId="7" applyFont="1" applyFill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6" fillId="0" borderId="1" xfId="0" applyFont="1" applyBorder="1"/>
    <xf numFmtId="0" fontId="16" fillId="0" borderId="1" xfId="0" applyNumberFormat="1" applyFont="1" applyBorder="1"/>
    <xf numFmtId="0" fontId="16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vertical="center" wrapText="1"/>
    </xf>
    <xf numFmtId="0" fontId="7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7" fillId="0" borderId="0" xfId="0" applyFont="1" applyAlignment="1"/>
    <xf numFmtId="2" fontId="11" fillId="3" borderId="1" xfId="0" applyNumberFormat="1" applyFont="1" applyFill="1" applyBorder="1" applyAlignment="1">
      <alignment horizontal="center" vertical="center"/>
    </xf>
    <xf numFmtId="0" fontId="15" fillId="13" borderId="1" xfId="10" applyFont="1" applyFill="1" applyBorder="1" applyAlignment="1">
      <alignment horizontal="center" vertical="center"/>
    </xf>
    <xf numFmtId="0" fontId="15" fillId="13" borderId="1" xfId="10" applyFont="1" applyFill="1" applyBorder="1" applyAlignment="1">
      <alignment horizontal="left" vertical="center"/>
    </xf>
    <xf numFmtId="4" fontId="15" fillId="13" borderId="1" xfId="1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6" applyFont="1" applyAlignment="1">
      <alignment horizontal="center" vertical="center"/>
    </xf>
    <xf numFmtId="0" fontId="2" fillId="0" borderId="0" xfId="6" applyAlignment="1">
      <alignment horizontal="right" vertical="center"/>
    </xf>
    <xf numFmtId="0" fontId="22" fillId="0" borderId="1" xfId="6" applyFont="1" applyBorder="1" applyAlignment="1">
      <alignment horizontal="center" vertical="center" wrapText="1"/>
    </xf>
    <xf numFmtId="0" fontId="23" fillId="0" borderId="1" xfId="6" applyFont="1" applyBorder="1" applyAlignment="1">
      <alignment horizontal="left" vertical="top" wrapText="1"/>
    </xf>
    <xf numFmtId="0" fontId="23" fillId="0" borderId="4" xfId="6" applyFont="1" applyBorder="1" applyAlignment="1">
      <alignment horizontal="left" vertical="top"/>
    </xf>
    <xf numFmtId="10" fontId="23" fillId="0" borderId="1" xfId="6" applyNumberFormat="1" applyFont="1" applyBorder="1" applyAlignment="1">
      <alignment horizontal="center" vertical="center" wrapText="1"/>
    </xf>
    <xf numFmtId="43" fontId="23" fillId="0" borderId="1" xfId="6" applyNumberFormat="1" applyFont="1" applyBorder="1" applyAlignment="1">
      <alignment horizontal="right" vertical="top" wrapText="1"/>
    </xf>
    <xf numFmtId="43" fontId="24" fillId="0" borderId="1" xfId="6" applyNumberFormat="1" applyFont="1" applyBorder="1" applyAlignment="1">
      <alignment vertical="center" wrapText="1"/>
    </xf>
    <xf numFmtId="43" fontId="25" fillId="0" borderId="1" xfId="6" applyNumberFormat="1" applyFont="1" applyBorder="1" applyAlignment="1">
      <alignment horizontal="center" vertical="center" wrapText="1"/>
    </xf>
    <xf numFmtId="10" fontId="24" fillId="0" borderId="1" xfId="6" applyNumberFormat="1" applyFont="1" applyBorder="1" applyAlignment="1">
      <alignment vertical="center" wrapText="1"/>
    </xf>
    <xf numFmtId="4" fontId="23" fillId="0" borderId="4" xfId="6" applyNumberFormat="1" applyFont="1" applyBorder="1" applyAlignment="1">
      <alignment horizontal="left" vertical="top" wrapText="1"/>
    </xf>
    <xf numFmtId="0" fontId="23" fillId="0" borderId="4" xfId="6" applyFont="1" applyBorder="1" applyAlignment="1">
      <alignment horizontal="left" vertical="top" wrapText="1"/>
    </xf>
    <xf numFmtId="0" fontId="23" fillId="0" borderId="1" xfId="6" applyFont="1" applyBorder="1" applyAlignment="1">
      <alignment horizontal="center" vertical="center" wrapText="1"/>
    </xf>
    <xf numFmtId="10" fontId="23" fillId="0" borderId="1" xfId="6" applyNumberFormat="1" applyFont="1" applyBorder="1" applyAlignment="1">
      <alignment horizontal="right" vertical="center" wrapText="1"/>
    </xf>
    <xf numFmtId="0" fontId="25" fillId="0" borderId="1" xfId="6" applyFont="1" applyBorder="1" applyAlignment="1">
      <alignment horizontal="right" vertical="center" wrapText="1"/>
    </xf>
    <xf numFmtId="43" fontId="23" fillId="0" borderId="1" xfId="6" applyNumberFormat="1" applyFont="1" applyBorder="1" applyAlignment="1">
      <alignment horizontal="left" vertical="top" wrapText="1"/>
    </xf>
    <xf numFmtId="0" fontId="25" fillId="0" borderId="1" xfId="6" applyFont="1" applyBorder="1" applyAlignment="1">
      <alignment horizontal="center" vertical="center" wrapText="1"/>
    </xf>
    <xf numFmtId="43" fontId="23" fillId="0" borderId="1" xfId="6" applyNumberFormat="1" applyFont="1" applyBorder="1" applyAlignment="1">
      <alignment horizontal="center" vertical="center" wrapText="1"/>
    </xf>
    <xf numFmtId="43" fontId="23" fillId="0" borderId="1" xfId="6" applyNumberFormat="1" applyFont="1" applyBorder="1" applyAlignment="1">
      <alignment horizontal="right" vertical="center" wrapText="1"/>
    </xf>
    <xf numFmtId="0" fontId="23" fillId="0" borderId="2" xfId="6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44" fontId="5" fillId="0" borderId="1" xfId="2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3" fillId="0" borderId="1" xfId="6" applyFont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5" fillId="0" borderId="2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Border="1" applyAlignment="1">
      <alignment vertical="center"/>
    </xf>
    <xf numFmtId="2" fontId="5" fillId="6" borderId="1" xfId="2" applyNumberFormat="1" applyFont="1" applyFill="1" applyBorder="1" applyAlignment="1">
      <alignment vertical="center"/>
    </xf>
    <xf numFmtId="2" fontId="5" fillId="0" borderId="1" xfId="2" applyNumberFormat="1" applyFont="1" applyBorder="1" applyAlignment="1">
      <alignment vertical="center"/>
    </xf>
    <xf numFmtId="2" fontId="5" fillId="0" borderId="1" xfId="1" applyNumberFormat="1" applyFont="1" applyFill="1" applyBorder="1" applyAlignment="1">
      <alignment vertical="center"/>
    </xf>
    <xf numFmtId="2" fontId="5" fillId="0" borderId="1" xfId="2" applyNumberFormat="1" applyFont="1" applyFill="1" applyBorder="1" applyAlignment="1">
      <alignment vertical="center"/>
    </xf>
    <xf numFmtId="2" fontId="5" fillId="6" borderId="1" xfId="1" applyNumberFormat="1" applyFont="1" applyFill="1" applyBorder="1" applyAlignment="1">
      <alignment vertical="center"/>
    </xf>
    <xf numFmtId="2" fontId="5" fillId="0" borderId="1" xfId="1" applyNumberFormat="1" applyFont="1" applyFill="1" applyBorder="1" applyAlignment="1">
      <alignment vertical="center" wrapText="1"/>
    </xf>
    <xf numFmtId="2" fontId="5" fillId="0" borderId="1" xfId="2" applyNumberFormat="1" applyFont="1" applyFill="1" applyBorder="1" applyAlignment="1">
      <alignment vertical="center" wrapText="1"/>
    </xf>
    <xf numFmtId="43" fontId="5" fillId="8" borderId="7" xfId="1" applyFont="1" applyFill="1" applyBorder="1" applyAlignment="1">
      <alignment vertical="center"/>
    </xf>
    <xf numFmtId="43" fontId="5" fillId="8" borderId="4" xfId="1" applyFont="1" applyFill="1" applyBorder="1" applyAlignment="1">
      <alignment vertical="center"/>
    </xf>
    <xf numFmtId="44" fontId="5" fillId="6" borderId="1" xfId="2" applyFont="1" applyFill="1" applyBorder="1" applyAlignment="1">
      <alignment horizontal="center" vertical="center" wrapText="1"/>
    </xf>
    <xf numFmtId="2" fontId="15" fillId="13" borderId="1" xfId="10" applyNumberFormat="1" applyFont="1" applyFill="1" applyBorder="1" applyAlignment="1">
      <alignment horizontal="center" vertical="center"/>
    </xf>
    <xf numFmtId="164" fontId="15" fillId="13" borderId="1" xfId="10" applyNumberFormat="1" applyFont="1" applyFill="1" applyBorder="1" applyAlignment="1">
      <alignment horizontal="center" vertical="center"/>
    </xf>
    <xf numFmtId="164" fontId="5" fillId="6" borderId="1" xfId="2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5" fillId="0" borderId="1" xfId="2" applyNumberFormat="1" applyFont="1" applyBorder="1" applyAlignment="1">
      <alignment horizontal="center" vertical="center"/>
    </xf>
    <xf numFmtId="2" fontId="5" fillId="14" borderId="1" xfId="2" applyNumberFormat="1" applyFont="1" applyFill="1" applyBorder="1" applyAlignment="1">
      <alignment vertical="center"/>
    </xf>
    <xf numFmtId="2" fontId="5" fillId="6" borderId="1" xfId="1" applyNumberFormat="1" applyFont="1" applyFill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2" fontId="5" fillId="0" borderId="4" xfId="1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23" fillId="0" borderId="2" xfId="6" applyFont="1" applyBorder="1" applyAlignment="1">
      <alignment horizontal="left" vertical="top"/>
    </xf>
    <xf numFmtId="0" fontId="23" fillId="0" borderId="2" xfId="6" applyFont="1" applyBorder="1" applyAlignment="1">
      <alignment horizontal="left" vertical="top" wrapText="1"/>
    </xf>
    <xf numFmtId="0" fontId="23" fillId="0" borderId="1" xfId="6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169" fontId="0" fillId="0" borderId="0" xfId="0" applyNumberFormat="1"/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3" fillId="0" borderId="1" xfId="6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2" fontId="5" fillId="0" borderId="5" xfId="2" applyNumberFormat="1" applyFont="1" applyFill="1" applyBorder="1" applyAlignment="1">
      <alignment vertical="center"/>
    </xf>
    <xf numFmtId="43" fontId="5" fillId="14" borderId="1" xfId="1" applyFont="1" applyFill="1" applyBorder="1" applyAlignment="1">
      <alignment vertical="center"/>
    </xf>
    <xf numFmtId="2" fontId="5" fillId="14" borderId="1" xfId="1" applyNumberFormat="1" applyFont="1" applyFill="1" applyBorder="1" applyAlignment="1">
      <alignment vertical="center"/>
    </xf>
    <xf numFmtId="10" fontId="6" fillId="11" borderId="31" xfId="0" applyNumberFormat="1" applyFont="1" applyFill="1" applyBorder="1"/>
    <xf numFmtId="17" fontId="6" fillId="11" borderId="31" xfId="0" applyNumberFormat="1" applyFont="1" applyFill="1" applyBorder="1"/>
    <xf numFmtId="0" fontId="6" fillId="11" borderId="31" xfId="0" applyFont="1" applyFill="1" applyBorder="1"/>
    <xf numFmtId="0" fontId="4" fillId="0" borderId="2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7" fillId="0" borderId="21" xfId="0" applyFont="1" applyBorder="1" applyAlignment="1">
      <alignment wrapText="1"/>
    </xf>
    <xf numFmtId="49" fontId="4" fillId="9" borderId="30" xfId="4" applyNumberFormat="1" applyFont="1" applyFill="1" applyBorder="1" applyAlignment="1">
      <alignment horizontal="center" vertical="center"/>
    </xf>
    <xf numFmtId="168" fontId="4" fillId="9" borderId="31" xfId="5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wrapText="1"/>
    </xf>
    <xf numFmtId="0" fontId="4" fillId="12" borderId="32" xfId="6" applyFont="1" applyFill="1" applyBorder="1" applyAlignment="1">
      <alignment horizontal="center" vertical="center"/>
    </xf>
    <xf numFmtId="168" fontId="4" fillId="12" borderId="31" xfId="7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wrapText="1"/>
    </xf>
    <xf numFmtId="164" fontId="6" fillId="0" borderId="31" xfId="0" applyNumberFormat="1" applyFont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wrapText="1"/>
    </xf>
    <xf numFmtId="0" fontId="5" fillId="0" borderId="30" xfId="0" applyFont="1" applyBorder="1" applyAlignment="1">
      <alignment horizontal="center" vertical="center"/>
    </xf>
    <xf numFmtId="44" fontId="5" fillId="6" borderId="31" xfId="2" applyFont="1" applyFill="1" applyBorder="1" applyAlignment="1">
      <alignment vertical="center"/>
    </xf>
    <xf numFmtId="44" fontId="5" fillId="0" borderId="31" xfId="2" applyFont="1" applyFill="1" applyBorder="1" applyAlignment="1">
      <alignment vertical="center"/>
    </xf>
    <xf numFmtId="164" fontId="4" fillId="8" borderId="31" xfId="1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4" fillId="12" borderId="32" xfId="8" applyFont="1" applyFill="1" applyBorder="1" applyAlignment="1">
      <alignment horizontal="center" vertical="center"/>
    </xf>
    <xf numFmtId="44" fontId="5" fillId="4" borderId="31" xfId="2" applyFont="1" applyFill="1" applyBorder="1" applyAlignment="1">
      <alignment vertical="center"/>
    </xf>
    <xf numFmtId="0" fontId="4" fillId="7" borderId="30" xfId="1" applyNumberFormat="1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vertical="center"/>
    </xf>
    <xf numFmtId="2" fontId="5" fillId="7" borderId="31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44" fontId="4" fillId="0" borderId="31" xfId="2" applyFont="1" applyBorder="1" applyAlignment="1">
      <alignment vertical="center"/>
    </xf>
    <xf numFmtId="44" fontId="29" fillId="2" borderId="35" xfId="2" applyFont="1" applyFill="1" applyBorder="1"/>
    <xf numFmtId="4" fontId="6" fillId="11" borderId="1" xfId="0" applyNumberFormat="1" applyFont="1" applyFill="1" applyBorder="1"/>
    <xf numFmtId="0" fontId="6" fillId="11" borderId="2" xfId="0" applyFont="1" applyFill="1" applyBorder="1" applyAlignment="1">
      <alignment horizontal="left"/>
    </xf>
    <xf numFmtId="0" fontId="6" fillId="11" borderId="3" xfId="0" applyFont="1" applyFill="1" applyBorder="1" applyAlignment="1">
      <alignment horizontal="left"/>
    </xf>
    <xf numFmtId="0" fontId="6" fillId="11" borderId="4" xfId="0" applyFont="1" applyFill="1" applyBorder="1" applyAlignment="1">
      <alignment horizontal="left"/>
    </xf>
    <xf numFmtId="0" fontId="6" fillId="11" borderId="30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1" borderId="30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43" fontId="4" fillId="0" borderId="28" xfId="1" applyFont="1" applyBorder="1" applyAlignment="1">
      <alignment horizontal="right" vertical="center"/>
    </xf>
    <xf numFmtId="43" fontId="4" fillId="0" borderId="3" xfId="1" applyFont="1" applyBorder="1" applyAlignment="1">
      <alignment horizontal="right" vertical="center"/>
    </xf>
    <xf numFmtId="43" fontId="4" fillId="0" borderId="4" xfId="1" applyFont="1" applyBorder="1" applyAlignment="1">
      <alignment horizontal="right" vertical="center"/>
    </xf>
    <xf numFmtId="43" fontId="4" fillId="8" borderId="28" xfId="1" applyFont="1" applyFill="1" applyBorder="1" applyAlignment="1">
      <alignment horizontal="right" vertical="center"/>
    </xf>
    <xf numFmtId="43" fontId="4" fillId="8" borderId="3" xfId="1" applyFont="1" applyFill="1" applyBorder="1" applyAlignment="1">
      <alignment horizontal="right" vertical="center"/>
    </xf>
    <xf numFmtId="43" fontId="4" fillId="8" borderId="4" xfId="1" applyFont="1" applyFill="1" applyBorder="1" applyAlignment="1">
      <alignment horizontal="right" vertical="center"/>
    </xf>
    <xf numFmtId="43" fontId="4" fillId="8" borderId="7" xfId="1" applyFont="1" applyFill="1" applyBorder="1" applyAlignment="1">
      <alignment horizontal="right" vertic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6" fillId="10" borderId="28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0" borderId="29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11" borderId="29" xfId="0" applyFont="1" applyFill="1" applyBorder="1" applyAlignment="1">
      <alignment horizontal="center"/>
    </xf>
    <xf numFmtId="169" fontId="6" fillId="11" borderId="8" xfId="0" applyNumberFormat="1" applyFont="1" applyFill="1" applyBorder="1" applyAlignment="1">
      <alignment horizontal="left" vertical="center"/>
    </xf>
    <xf numFmtId="169" fontId="6" fillId="11" borderId="9" xfId="0" applyNumberFormat="1" applyFont="1" applyFill="1" applyBorder="1" applyAlignment="1">
      <alignment horizontal="left" vertical="center"/>
    </xf>
    <xf numFmtId="169" fontId="6" fillId="11" borderId="10" xfId="0" applyNumberFormat="1" applyFont="1" applyFill="1" applyBorder="1" applyAlignment="1">
      <alignment horizontal="left" vertical="center"/>
    </xf>
    <xf numFmtId="169" fontId="6" fillId="11" borderId="6" xfId="0" applyNumberFormat="1" applyFont="1" applyFill="1" applyBorder="1" applyAlignment="1">
      <alignment horizontal="left" vertical="center"/>
    </xf>
    <xf numFmtId="169" fontId="6" fillId="11" borderId="7" xfId="0" applyNumberFormat="1" applyFont="1" applyFill="1" applyBorder="1" applyAlignment="1">
      <alignment horizontal="left" vertical="center"/>
    </xf>
    <xf numFmtId="169" fontId="6" fillId="11" borderId="11" xfId="0" applyNumberFormat="1" applyFont="1" applyFill="1" applyBorder="1" applyAlignment="1">
      <alignment horizontal="left" vertical="center"/>
    </xf>
    <xf numFmtId="0" fontId="6" fillId="11" borderId="8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6" fillId="0" borderId="28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68" fontId="4" fillId="12" borderId="12" xfId="9" applyFont="1" applyFill="1" applyBorder="1" applyAlignment="1">
      <alignment horizontal="center" vertical="center"/>
    </xf>
    <xf numFmtId="168" fontId="4" fillId="12" borderId="21" xfId="9" applyFont="1" applyFill="1" applyBorder="1" applyAlignment="1">
      <alignment horizontal="center" vertical="center"/>
    </xf>
    <xf numFmtId="43" fontId="4" fillId="8" borderId="30" xfId="1" applyFont="1" applyFill="1" applyBorder="1" applyAlignment="1">
      <alignment horizontal="right" vertical="center"/>
    </xf>
    <xf numFmtId="43" fontId="4" fillId="8" borderId="1" xfId="1" applyFont="1" applyFill="1" applyBorder="1" applyAlignment="1">
      <alignment horizontal="right" vertical="center"/>
    </xf>
    <xf numFmtId="10" fontId="20" fillId="0" borderId="1" xfId="6" applyNumberFormat="1" applyFont="1" applyBorder="1" applyAlignment="1">
      <alignment horizontal="center" vertical="center" wrapText="1"/>
    </xf>
    <xf numFmtId="0" fontId="23" fillId="0" borderId="2" xfId="6" applyFont="1" applyBorder="1" applyAlignment="1">
      <alignment horizontal="left" vertical="top"/>
    </xf>
    <xf numFmtId="0" fontId="23" fillId="0" borderId="3" xfId="6" applyFont="1" applyBorder="1" applyAlignment="1">
      <alignment horizontal="left" vertical="top"/>
    </xf>
    <xf numFmtId="0" fontId="23" fillId="0" borderId="4" xfId="6" applyFont="1" applyBorder="1" applyAlignment="1">
      <alignment horizontal="left" vertical="top"/>
    </xf>
    <xf numFmtId="0" fontId="23" fillId="0" borderId="2" xfId="6" applyFont="1" applyBorder="1" applyAlignment="1">
      <alignment horizontal="left" vertical="top" wrapText="1"/>
    </xf>
    <xf numFmtId="0" fontId="23" fillId="0" borderId="3" xfId="6" applyFont="1" applyBorder="1" applyAlignment="1">
      <alignment horizontal="left" vertical="top" wrapText="1"/>
    </xf>
    <xf numFmtId="0" fontId="23" fillId="0" borderId="4" xfId="6" applyFont="1" applyBorder="1" applyAlignment="1">
      <alignment horizontal="left" vertical="top" wrapText="1"/>
    </xf>
    <xf numFmtId="0" fontId="20" fillId="0" borderId="2" xfId="6" applyFont="1" applyBorder="1" applyAlignment="1">
      <alignment horizontal="center" vertical="center" wrapText="1"/>
    </xf>
    <xf numFmtId="0" fontId="20" fillId="0" borderId="3" xfId="6" applyFont="1" applyBorder="1" applyAlignment="1">
      <alignment horizontal="center" vertical="center" wrapText="1"/>
    </xf>
    <xf numFmtId="0" fontId="2" fillId="0" borderId="13" xfId="6" applyBorder="1" applyAlignment="1">
      <alignment horizontal="center" vertical="center" wrapText="1"/>
    </xf>
    <xf numFmtId="0" fontId="2" fillId="0" borderId="14" xfId="6" applyBorder="1" applyAlignment="1">
      <alignment horizontal="center" vertical="center" wrapText="1"/>
    </xf>
    <xf numFmtId="0" fontId="20" fillId="0" borderId="13" xfId="6" applyFont="1" applyBorder="1" applyAlignment="1">
      <alignment horizontal="center" vertical="center" wrapText="1"/>
    </xf>
    <xf numFmtId="0" fontId="20" fillId="0" borderId="14" xfId="6" applyFont="1" applyBorder="1" applyAlignment="1">
      <alignment horizontal="center" vertical="center" wrapText="1"/>
    </xf>
    <xf numFmtId="0" fontId="21" fillId="0" borderId="15" xfId="6" applyFont="1" applyBorder="1" applyAlignment="1">
      <alignment horizontal="center" vertical="center" wrapText="1"/>
    </xf>
    <xf numFmtId="0" fontId="21" fillId="0" borderId="16" xfId="6" applyFont="1" applyBorder="1" applyAlignment="1">
      <alignment horizontal="center" vertical="center" wrapText="1"/>
    </xf>
    <xf numFmtId="0" fontId="20" fillId="0" borderId="1" xfId="6" applyFont="1" applyBorder="1" applyAlignment="1">
      <alignment horizontal="center" vertical="center" wrapText="1"/>
    </xf>
    <xf numFmtId="0" fontId="23" fillId="0" borderId="1" xfId="6" applyFont="1" applyBorder="1" applyAlignment="1">
      <alignment horizontal="left" vertical="top" wrapText="1"/>
    </xf>
    <xf numFmtId="0" fontId="22" fillId="0" borderId="1" xfId="6" applyFont="1" applyBorder="1" applyAlignment="1">
      <alignment horizontal="center" vertical="center" wrapText="1"/>
    </xf>
    <xf numFmtId="0" fontId="22" fillId="0" borderId="2" xfId="6" applyFont="1" applyBorder="1" applyAlignment="1">
      <alignment horizontal="center" vertical="center" wrapText="1"/>
    </xf>
    <xf numFmtId="0" fontId="22" fillId="0" borderId="4" xfId="6" applyFont="1" applyBorder="1" applyAlignment="1">
      <alignment horizontal="center" vertical="center" wrapText="1"/>
    </xf>
    <xf numFmtId="43" fontId="5" fillId="8" borderId="1" xfId="1" applyFont="1" applyFill="1" applyBorder="1" applyAlignment="1">
      <alignment horizontal="right" vertical="center"/>
    </xf>
    <xf numFmtId="43" fontId="5" fillId="8" borderId="3" xfId="1" applyFont="1" applyFill="1" applyBorder="1" applyAlignment="1">
      <alignment horizontal="right" vertical="center"/>
    </xf>
    <xf numFmtId="43" fontId="5" fillId="8" borderId="4" xfId="1" applyFont="1" applyFill="1" applyBorder="1" applyAlignment="1">
      <alignment horizontal="right" vertical="center"/>
    </xf>
    <xf numFmtId="43" fontId="5" fillId="8" borderId="7" xfId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25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10" borderId="26" xfId="0" applyFont="1" applyFill="1" applyBorder="1" applyAlignment="1">
      <alignment horizontal="center"/>
    </xf>
    <xf numFmtId="0" fontId="6" fillId="10" borderId="27" xfId="0" applyFont="1" applyFill="1" applyBorder="1" applyAlignment="1">
      <alignment horizontal="center"/>
    </xf>
    <xf numFmtId="168" fontId="4" fillId="12" borderId="0" xfId="9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25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2" fontId="5" fillId="0" borderId="2" xfId="2" applyNumberFormat="1" applyFont="1" applyFill="1" applyBorder="1" applyAlignment="1">
      <alignment horizontal="center" vertical="center"/>
    </xf>
    <xf numFmtId="2" fontId="5" fillId="0" borderId="4" xfId="2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2">
    <cellStyle name="Moeda" xfId="2" builtinId="4"/>
    <cellStyle name="Moeda 2" xfId="3" xr:uid="{00000000-0005-0000-0000-000001000000}"/>
    <cellStyle name="Normal" xfId="0" builtinId="0"/>
    <cellStyle name="Normal 2" xfId="4" xr:uid="{00000000-0005-0000-0000-000003000000}"/>
    <cellStyle name="Normal 3" xfId="11" xr:uid="{00000000-0005-0000-0000-000004000000}"/>
    <cellStyle name="Normal 4" xfId="6" xr:uid="{00000000-0005-0000-0000-000005000000}"/>
    <cellStyle name="Normal 5" xfId="8" xr:uid="{00000000-0005-0000-0000-000006000000}"/>
    <cellStyle name="Normal_Pesquisa no referencial 10 de maio de 2013" xfId="10" xr:uid="{00000000-0005-0000-0000-000007000000}"/>
    <cellStyle name="Separador de milhares 2" xfId="5" xr:uid="{00000000-0005-0000-0000-000008000000}"/>
    <cellStyle name="Separador de milhares 4" xfId="7" xr:uid="{00000000-0005-0000-0000-000009000000}"/>
    <cellStyle name="Separador de milhares 5" xfId="9" xr:uid="{00000000-0005-0000-0000-00000A000000}"/>
    <cellStyle name="Vírgula" xfId="1" builtinId="3"/>
  </cellStyles>
  <dxfs count="10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1061356</xdr:colOff>
      <xdr:row>0</xdr:row>
      <xdr:rowOff>132083</xdr:rowOff>
    </xdr:from>
    <xdr:to>
      <xdr:col>9</xdr:col>
      <xdr:colOff>802821</xdr:colOff>
      <xdr:row>7</xdr:row>
      <xdr:rowOff>107895</xdr:rowOff>
    </xdr:to>
    <xdr:pic>
      <xdr:nvPicPr>
        <xdr:cNvPr id="3" name="Figura1">
          <a:extLst>
            <a:ext uri="{FF2B5EF4-FFF2-40B4-BE49-F238E27FC236}">
              <a16:creationId xmlns:a16="http://schemas.microsoft.com/office/drawing/2014/main" id="{BEFDAA4A-6E12-41EB-8A57-0DFA9D89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8463" y="132083"/>
          <a:ext cx="1047751" cy="982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122464</xdr:colOff>
      <xdr:row>0</xdr:row>
      <xdr:rowOff>95249</xdr:rowOff>
    </xdr:from>
    <xdr:to>
      <xdr:col>2</xdr:col>
      <xdr:colOff>108106</xdr:colOff>
      <xdr:row>7</xdr:row>
      <xdr:rowOff>149677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CDDE080-3955-4A0C-86E2-A6F8B673D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" y="95249"/>
          <a:ext cx="1359963" cy="106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609600</xdr:colOff>
      <xdr:row>0</xdr:row>
      <xdr:rowOff>152400</xdr:rowOff>
    </xdr:from>
    <xdr:to>
      <xdr:col>16</xdr:col>
      <xdr:colOff>785132</xdr:colOff>
      <xdr:row>7</xdr:row>
      <xdr:rowOff>1666</xdr:rowOff>
    </xdr:to>
    <xdr:pic>
      <xdr:nvPicPr>
        <xdr:cNvPr id="3" name="Figura1">
          <a:extLst>
            <a:ext uri="{FF2B5EF4-FFF2-40B4-BE49-F238E27FC236}">
              <a16:creationId xmlns:a16="http://schemas.microsoft.com/office/drawing/2014/main" id="{E741EEC0-E77B-4043-AF80-0BA80E80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7075" y="152400"/>
          <a:ext cx="1047751" cy="982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104775</xdr:rowOff>
    </xdr:from>
    <xdr:to>
      <xdr:col>1</xdr:col>
      <xdr:colOff>959913</xdr:colOff>
      <xdr:row>7</xdr:row>
      <xdr:rowOff>32657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222D76-35AD-41FF-9AA8-25F4A9A19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359963" cy="106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1090766</xdr:colOff>
      <xdr:row>1</xdr:row>
      <xdr:rowOff>0</xdr:rowOff>
    </xdr:from>
    <xdr:to>
      <xdr:col>8</xdr:col>
      <xdr:colOff>832670</xdr:colOff>
      <xdr:row>7</xdr:row>
      <xdr:rowOff>76330</xdr:rowOff>
    </xdr:to>
    <xdr:pic>
      <xdr:nvPicPr>
        <xdr:cNvPr id="3" name="Figura1">
          <a:extLst>
            <a:ext uri="{FF2B5EF4-FFF2-40B4-BE49-F238E27FC236}">
              <a16:creationId xmlns:a16="http://schemas.microsoft.com/office/drawing/2014/main" id="{BAF35B4B-5CD0-4B34-867E-FBF2E80B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3266" y="184355"/>
          <a:ext cx="1047751" cy="982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245807</xdr:colOff>
      <xdr:row>0</xdr:row>
      <xdr:rowOff>107541</xdr:rowOff>
    </xdr:from>
    <xdr:to>
      <xdr:col>1</xdr:col>
      <xdr:colOff>837625</xdr:colOff>
      <xdr:row>7</xdr:row>
      <xdr:rowOff>78132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A75F3F-58A8-4EC3-AFED-33DA0DC5F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807" y="107541"/>
          <a:ext cx="1359963" cy="106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>
    <pageSetUpPr fitToPage="1"/>
  </sheetPr>
  <dimension ref="A1:R181"/>
  <sheetViews>
    <sheetView topLeftCell="A134" zoomScale="70" zoomScaleNormal="82" workbookViewId="0">
      <selection sqref="A1:J180"/>
    </sheetView>
  </sheetViews>
  <sheetFormatPr defaultRowHeight="15.75" x14ac:dyDescent="0.25"/>
  <cols>
    <col min="1" max="1" width="9" style="2" customWidth="1"/>
    <col min="2" max="2" width="11.5703125" style="2" bestFit="1" customWidth="1"/>
    <col min="3" max="3" width="17.7109375" style="3" customWidth="1"/>
    <col min="4" max="4" width="39.140625" style="4" customWidth="1"/>
    <col min="5" max="5" width="11.140625" style="2" bestFit="1" customWidth="1"/>
    <col min="6" max="6" width="11.5703125" style="3" customWidth="1"/>
    <col min="7" max="7" width="16.28515625" style="3" bestFit="1" customWidth="1"/>
    <col min="8" max="8" width="19.140625" style="3" bestFit="1" customWidth="1"/>
    <col min="9" max="9" width="19.5703125" style="3" bestFit="1" customWidth="1"/>
    <col min="10" max="10" width="21.140625" style="1" customWidth="1"/>
    <col min="12" max="12" width="9.7109375" bestFit="1" customWidth="1"/>
  </cols>
  <sheetData>
    <row r="1" spans="1:18" ht="15" x14ac:dyDescent="0.25">
      <c r="A1" s="244"/>
      <c r="B1" s="245"/>
      <c r="C1" s="245"/>
      <c r="D1" s="245"/>
      <c r="E1" s="245"/>
      <c r="F1" s="245"/>
      <c r="G1" s="245"/>
      <c r="H1" s="245"/>
      <c r="I1" s="245"/>
      <c r="J1" s="246"/>
    </row>
    <row r="2" spans="1:18" ht="15" x14ac:dyDescent="0.25">
      <c r="A2" s="247"/>
      <c r="B2" s="248"/>
      <c r="C2" s="248"/>
      <c r="D2" s="248"/>
      <c r="E2" s="248"/>
      <c r="F2" s="248"/>
      <c r="G2" s="248"/>
      <c r="H2" s="248"/>
      <c r="I2" s="248"/>
      <c r="J2" s="249"/>
    </row>
    <row r="3" spans="1:18" ht="15" x14ac:dyDescent="0.25">
      <c r="A3" s="247"/>
      <c r="B3" s="248"/>
      <c r="C3" s="248"/>
      <c r="D3" s="248"/>
      <c r="E3" s="248"/>
      <c r="F3" s="248"/>
      <c r="G3" s="248"/>
      <c r="H3" s="248"/>
      <c r="I3" s="248"/>
      <c r="J3" s="249"/>
    </row>
    <row r="4" spans="1:18" ht="3.75" customHeight="1" x14ac:dyDescent="0.25">
      <c r="A4" s="247"/>
      <c r="B4" s="248"/>
      <c r="C4" s="248"/>
      <c r="D4" s="248"/>
      <c r="E4" s="248"/>
      <c r="F4" s="248"/>
      <c r="G4" s="248"/>
      <c r="H4" s="248"/>
      <c r="I4" s="248"/>
      <c r="J4" s="249"/>
    </row>
    <row r="5" spans="1:18" ht="15" hidden="1" x14ac:dyDescent="0.25">
      <c r="A5" s="247"/>
      <c r="B5" s="248"/>
      <c r="C5" s="248"/>
      <c r="D5" s="248"/>
      <c r="E5" s="248"/>
      <c r="F5" s="248"/>
      <c r="G5" s="248"/>
      <c r="H5" s="248"/>
      <c r="I5" s="248"/>
      <c r="J5" s="249"/>
    </row>
    <row r="6" spans="1:18" ht="15" x14ac:dyDescent="0.25">
      <c r="A6" s="247" t="s">
        <v>786</v>
      </c>
      <c r="B6" s="248"/>
      <c r="C6" s="248"/>
      <c r="D6" s="248"/>
      <c r="E6" s="248"/>
      <c r="F6" s="248"/>
      <c r="G6" s="248"/>
      <c r="H6" s="248"/>
      <c r="I6" s="248"/>
      <c r="J6" s="249"/>
    </row>
    <row r="7" spans="1:18" ht="15" customHeight="1" x14ac:dyDescent="0.25">
      <c r="A7" s="247"/>
      <c r="B7" s="248"/>
      <c r="C7" s="248"/>
      <c r="D7" s="248"/>
      <c r="E7" s="248"/>
      <c r="F7" s="248"/>
      <c r="G7" s="248"/>
      <c r="H7" s="248"/>
      <c r="I7" s="248"/>
      <c r="J7" s="249"/>
    </row>
    <row r="8" spans="1:18" thickBot="1" x14ac:dyDescent="0.3">
      <c r="A8" s="250"/>
      <c r="B8" s="251"/>
      <c r="C8" s="251"/>
      <c r="D8" s="251"/>
      <c r="E8" s="251"/>
      <c r="F8" s="251"/>
      <c r="G8" s="251"/>
      <c r="H8" s="251"/>
      <c r="I8" s="251"/>
      <c r="J8" s="252"/>
    </row>
    <row r="9" spans="1:18" x14ac:dyDescent="0.25">
      <c r="A9" s="253" t="s">
        <v>300</v>
      </c>
      <c r="B9" s="254"/>
      <c r="C9" s="254"/>
      <c r="D9" s="254"/>
      <c r="E9" s="254"/>
      <c r="F9" s="254"/>
      <c r="G9" s="254"/>
      <c r="H9" s="254"/>
      <c r="I9" s="254"/>
      <c r="J9" s="255"/>
      <c r="K9" s="49"/>
      <c r="L9" s="49"/>
      <c r="M9" s="49"/>
      <c r="N9" s="49"/>
      <c r="O9" s="49"/>
      <c r="P9" s="49"/>
      <c r="Q9" s="49"/>
      <c r="R9" s="49"/>
    </row>
    <row r="10" spans="1:18" x14ac:dyDescent="0.25">
      <c r="A10" s="233" t="s">
        <v>301</v>
      </c>
      <c r="B10" s="234"/>
      <c r="C10" s="234"/>
      <c r="D10" s="230"/>
      <c r="E10" s="231"/>
      <c r="F10" s="232"/>
      <c r="G10" s="256" t="s">
        <v>797</v>
      </c>
      <c r="H10" s="258"/>
      <c r="I10" s="258"/>
      <c r="J10" s="259"/>
      <c r="K10" s="49"/>
      <c r="L10" s="49"/>
      <c r="M10" s="49"/>
      <c r="N10" s="49"/>
      <c r="O10" s="49"/>
      <c r="P10" s="49"/>
      <c r="Q10" s="49"/>
      <c r="R10" s="49"/>
    </row>
    <row r="11" spans="1:18" x14ac:dyDescent="0.25">
      <c r="A11" s="233" t="s">
        <v>302</v>
      </c>
      <c r="B11" s="234"/>
      <c r="C11" s="234"/>
      <c r="D11" s="230" t="s">
        <v>661</v>
      </c>
      <c r="E11" s="231"/>
      <c r="F11" s="232"/>
      <c r="G11" s="256" t="s">
        <v>303</v>
      </c>
      <c r="H11" s="257"/>
      <c r="I11" s="26"/>
      <c r="J11" s="197">
        <v>0.27929999999999999</v>
      </c>
      <c r="K11" s="49"/>
      <c r="L11" s="49"/>
      <c r="M11" s="49"/>
      <c r="N11" s="49"/>
      <c r="O11" s="49"/>
      <c r="P11" s="49"/>
      <c r="Q11" s="49"/>
      <c r="R11" s="49"/>
    </row>
    <row r="12" spans="1:18" x14ac:dyDescent="0.25">
      <c r="A12" s="233" t="s">
        <v>304</v>
      </c>
      <c r="B12" s="234"/>
      <c r="C12" s="234"/>
      <c r="D12" s="230" t="s">
        <v>662</v>
      </c>
      <c r="E12" s="231"/>
      <c r="F12" s="232"/>
      <c r="G12" s="266" t="s">
        <v>296</v>
      </c>
      <c r="H12" s="267"/>
      <c r="I12" s="27" t="s">
        <v>305</v>
      </c>
      <c r="J12" s="198">
        <v>44682</v>
      </c>
      <c r="K12" s="49"/>
      <c r="L12" s="49"/>
      <c r="M12" s="49"/>
      <c r="N12" s="49"/>
      <c r="O12" s="49"/>
      <c r="P12" s="49"/>
      <c r="Q12" s="49"/>
      <c r="R12" s="49"/>
    </row>
    <row r="13" spans="1:18" ht="15.75" customHeight="1" x14ac:dyDescent="0.25">
      <c r="A13" s="235" t="s">
        <v>306</v>
      </c>
      <c r="B13" s="236"/>
      <c r="C13" s="236"/>
      <c r="D13" s="260">
        <f>J180</f>
        <v>1981931.1049022938</v>
      </c>
      <c r="E13" s="261"/>
      <c r="F13" s="262"/>
      <c r="G13" s="268"/>
      <c r="H13" s="269"/>
      <c r="I13" s="27" t="s">
        <v>307</v>
      </c>
      <c r="J13" s="198">
        <v>44652</v>
      </c>
      <c r="K13" s="49"/>
      <c r="L13" s="49"/>
      <c r="M13" s="49"/>
      <c r="N13" s="49"/>
      <c r="O13" s="49"/>
      <c r="P13" s="49"/>
      <c r="Q13" s="49"/>
      <c r="R13" s="49"/>
    </row>
    <row r="14" spans="1:18" x14ac:dyDescent="0.25">
      <c r="A14" s="235"/>
      <c r="B14" s="236"/>
      <c r="C14" s="236"/>
      <c r="D14" s="263"/>
      <c r="E14" s="264"/>
      <c r="F14" s="265"/>
      <c r="G14" s="256" t="s">
        <v>308</v>
      </c>
      <c r="H14" s="257"/>
      <c r="I14" s="229">
        <v>13754.79</v>
      </c>
      <c r="J14" s="199" t="s">
        <v>4</v>
      </c>
      <c r="K14" s="49"/>
      <c r="L14" s="50"/>
      <c r="M14" s="49"/>
      <c r="N14" s="49"/>
      <c r="O14" s="49"/>
      <c r="P14" s="49"/>
      <c r="Q14" s="49"/>
      <c r="R14" s="49"/>
    </row>
    <row r="15" spans="1:18" x14ac:dyDescent="0.25">
      <c r="A15" s="200"/>
      <c r="B15" s="201"/>
      <c r="C15" s="201"/>
      <c r="D15" s="201"/>
      <c r="E15" s="201"/>
      <c r="F15" s="201"/>
      <c r="G15" s="201"/>
      <c r="H15" s="201"/>
      <c r="I15" s="201"/>
      <c r="J15" s="202"/>
      <c r="K15" s="49"/>
      <c r="L15" s="48"/>
      <c r="M15" s="49"/>
      <c r="N15" s="49"/>
      <c r="O15" s="49"/>
      <c r="P15" s="49"/>
      <c r="Q15" s="49"/>
      <c r="R15" s="49"/>
    </row>
    <row r="16" spans="1:18" ht="31.5" x14ac:dyDescent="0.25">
      <c r="A16" s="203" t="s">
        <v>0</v>
      </c>
      <c r="B16" s="5" t="s">
        <v>296</v>
      </c>
      <c r="C16" s="5" t="s">
        <v>295</v>
      </c>
      <c r="D16" s="5" t="s">
        <v>297</v>
      </c>
      <c r="E16" s="5" t="s">
        <v>1</v>
      </c>
      <c r="F16" s="6" t="s">
        <v>6</v>
      </c>
      <c r="G16" s="7" t="s">
        <v>298</v>
      </c>
      <c r="H16" s="7" t="s">
        <v>312</v>
      </c>
      <c r="I16" s="8" t="s">
        <v>299</v>
      </c>
      <c r="J16" s="204" t="s">
        <v>313</v>
      </c>
      <c r="K16" s="48"/>
      <c r="L16" s="49"/>
      <c r="M16" s="49"/>
      <c r="N16" s="49"/>
      <c r="O16" s="49"/>
      <c r="P16" s="49"/>
      <c r="Q16" s="49"/>
      <c r="R16" s="49"/>
    </row>
    <row r="17" spans="1:18" x14ac:dyDescent="0.25">
      <c r="A17" s="205"/>
      <c r="B17" s="9"/>
      <c r="C17" s="10"/>
      <c r="D17" s="11"/>
      <c r="E17" s="9"/>
      <c r="F17" s="12"/>
      <c r="G17" s="12"/>
      <c r="H17" s="12"/>
      <c r="I17" s="13"/>
      <c r="J17" s="206"/>
      <c r="K17" s="51"/>
      <c r="M17" s="49"/>
      <c r="N17" s="49"/>
      <c r="O17" s="49"/>
      <c r="P17" s="49"/>
      <c r="Q17" s="49"/>
      <c r="R17" s="49"/>
    </row>
    <row r="18" spans="1:18" x14ac:dyDescent="0.25">
      <c r="A18" s="207">
        <v>1</v>
      </c>
      <c r="B18" s="44"/>
      <c r="C18" s="44"/>
      <c r="D18" s="47" t="s">
        <v>314</v>
      </c>
      <c r="E18" s="45"/>
      <c r="F18" s="45"/>
      <c r="G18" s="46"/>
      <c r="H18" s="46"/>
      <c r="I18" s="88"/>
      <c r="J18" s="208"/>
      <c r="K18" s="36"/>
      <c r="L18" s="49"/>
      <c r="M18" s="49"/>
      <c r="N18" s="49"/>
      <c r="O18" s="49"/>
      <c r="P18" s="49"/>
      <c r="Q18" s="49"/>
      <c r="R18" s="49"/>
    </row>
    <row r="19" spans="1:18" ht="63" x14ac:dyDescent="0.25">
      <c r="A19" s="209" t="s">
        <v>110</v>
      </c>
      <c r="B19" s="39" t="s">
        <v>315</v>
      </c>
      <c r="C19" s="103">
        <v>51</v>
      </c>
      <c r="D19" s="149" t="s">
        <v>663</v>
      </c>
      <c r="E19" s="103" t="s">
        <v>4</v>
      </c>
      <c r="F19" s="74">
        <f>'MEMÓRIAL DE CÁLCULO.'!H14</f>
        <v>6</v>
      </c>
      <c r="G19" s="144">
        <v>371.73</v>
      </c>
      <c r="H19" s="144">
        <f>(1+$J$11)*G19</f>
        <v>475.55418900000006</v>
      </c>
      <c r="I19" s="144">
        <f>G19*F19</f>
        <v>2230.38</v>
      </c>
      <c r="J19" s="210">
        <f>H19*F19</f>
        <v>2853.3251340000006</v>
      </c>
      <c r="K19" s="36"/>
      <c r="L19" s="49"/>
      <c r="M19" s="49"/>
      <c r="N19" s="49"/>
      <c r="O19" s="49"/>
      <c r="P19" s="49"/>
      <c r="Q19" s="49"/>
      <c r="R19" s="49"/>
    </row>
    <row r="20" spans="1:18" ht="94.5" x14ac:dyDescent="0.25">
      <c r="A20" s="209" t="s">
        <v>111</v>
      </c>
      <c r="B20" s="39" t="s">
        <v>315</v>
      </c>
      <c r="C20" s="39">
        <v>6096</v>
      </c>
      <c r="D20" s="41" t="s">
        <v>342</v>
      </c>
      <c r="E20" s="21" t="s">
        <v>37</v>
      </c>
      <c r="F20" s="40">
        <v>1</v>
      </c>
      <c r="G20" s="53">
        <v>574.51</v>
      </c>
      <c r="H20" s="53">
        <f t="shared" ref="H20:H24" si="0">(1+$J$11)*G20</f>
        <v>734.970643</v>
      </c>
      <c r="I20" s="53">
        <f t="shared" ref="I20:I22" si="1">G20*F20</f>
        <v>574.51</v>
      </c>
      <c r="J20" s="211">
        <f t="shared" ref="J20:J24" si="2">H20*F20</f>
        <v>734.970643</v>
      </c>
      <c r="K20" s="36"/>
    </row>
    <row r="21" spans="1:18" ht="63" x14ac:dyDescent="0.25">
      <c r="A21" s="209" t="s">
        <v>284</v>
      </c>
      <c r="B21" s="39" t="s">
        <v>305</v>
      </c>
      <c r="C21" s="39">
        <v>41598</v>
      </c>
      <c r="D21" s="41" t="s">
        <v>343</v>
      </c>
      <c r="E21" s="21" t="s">
        <v>37</v>
      </c>
      <c r="F21" s="40">
        <v>1</v>
      </c>
      <c r="G21" s="53">
        <v>1300.03</v>
      </c>
      <c r="H21" s="53">
        <f t="shared" si="0"/>
        <v>1663.128379</v>
      </c>
      <c r="I21" s="53">
        <f t="shared" si="1"/>
        <v>1300.03</v>
      </c>
      <c r="J21" s="211">
        <f t="shared" si="2"/>
        <v>1663.128379</v>
      </c>
      <c r="K21" s="36"/>
    </row>
    <row r="22" spans="1:18" ht="78.75" x14ac:dyDescent="0.25">
      <c r="A22" s="209" t="s">
        <v>285</v>
      </c>
      <c r="B22" s="39" t="s">
        <v>305</v>
      </c>
      <c r="C22" s="39">
        <v>99059</v>
      </c>
      <c r="D22" s="41" t="s">
        <v>664</v>
      </c>
      <c r="E22" s="39" t="s">
        <v>4</v>
      </c>
      <c r="F22" s="74">
        <f>171.82+162.22+44.01</f>
        <v>378.04999999999995</v>
      </c>
      <c r="G22" s="53">
        <v>47.89</v>
      </c>
      <c r="H22" s="53">
        <f t="shared" si="0"/>
        <v>61.265677000000004</v>
      </c>
      <c r="I22" s="53">
        <f t="shared" si="1"/>
        <v>18104.814499999997</v>
      </c>
      <c r="J22" s="211">
        <f t="shared" si="2"/>
        <v>23161.489189849999</v>
      </c>
      <c r="K22" s="36"/>
    </row>
    <row r="23" spans="1:18" ht="47.25" x14ac:dyDescent="0.25">
      <c r="A23" s="209" t="s">
        <v>286</v>
      </c>
      <c r="B23" s="39" t="s">
        <v>307</v>
      </c>
      <c r="C23" s="39">
        <v>4816</v>
      </c>
      <c r="D23" s="41" t="s">
        <v>542</v>
      </c>
      <c r="E23" s="39" t="s">
        <v>120</v>
      </c>
      <c r="F23" s="74">
        <v>483.58</v>
      </c>
      <c r="G23" s="53">
        <v>1.1200000000000001</v>
      </c>
      <c r="H23" s="53">
        <f t="shared" ref="H23" si="3">(1+$J$11)*G23</f>
        <v>1.4328160000000003</v>
      </c>
      <c r="I23" s="53">
        <f t="shared" ref="I23" si="4">G23*F23</f>
        <v>541.6096</v>
      </c>
      <c r="J23" s="211">
        <f t="shared" ref="J23" si="5">H23*F23</f>
        <v>692.88116128000013</v>
      </c>
      <c r="K23" s="36"/>
    </row>
    <row r="24" spans="1:18" ht="78.75" x14ac:dyDescent="0.25">
      <c r="A24" s="209" t="s">
        <v>287</v>
      </c>
      <c r="B24" s="39" t="s">
        <v>305</v>
      </c>
      <c r="C24" s="39">
        <v>93207</v>
      </c>
      <c r="D24" s="212" t="s">
        <v>544</v>
      </c>
      <c r="E24" s="39" t="s">
        <v>4</v>
      </c>
      <c r="F24" s="40">
        <f>'MEMÓRIAL DE CÁLCULO.'!H21</f>
        <v>9</v>
      </c>
      <c r="G24" s="53">
        <v>1082.3399999999999</v>
      </c>
      <c r="H24" s="53">
        <f t="shared" si="0"/>
        <v>1384.6375620000001</v>
      </c>
      <c r="I24" s="53">
        <f>F24*G24</f>
        <v>9741.06</v>
      </c>
      <c r="J24" s="211">
        <f t="shared" si="2"/>
        <v>12461.738058000001</v>
      </c>
    </row>
    <row r="25" spans="1:18" x14ac:dyDescent="0.25">
      <c r="A25" s="272" t="s">
        <v>322</v>
      </c>
      <c r="B25" s="273"/>
      <c r="C25" s="273"/>
      <c r="D25" s="273"/>
      <c r="E25" s="273"/>
      <c r="F25" s="273"/>
      <c r="G25" s="273"/>
      <c r="H25" s="274"/>
      <c r="I25" s="54">
        <f>SUM(I19:I24)</f>
        <v>32492.4041</v>
      </c>
      <c r="J25" s="213">
        <f>SUM(J19:J24)</f>
        <v>41567.532565130001</v>
      </c>
      <c r="K25" s="38"/>
    </row>
    <row r="26" spans="1:18" x14ac:dyDescent="0.25">
      <c r="A26" s="214">
        <v>2</v>
      </c>
      <c r="B26" s="14"/>
      <c r="C26" s="15"/>
      <c r="D26" s="16" t="s">
        <v>282</v>
      </c>
      <c r="E26" s="58"/>
      <c r="F26" s="58"/>
      <c r="G26" s="58"/>
      <c r="H26" s="58"/>
      <c r="I26" s="58"/>
      <c r="J26" s="215"/>
    </row>
    <row r="27" spans="1:18" x14ac:dyDescent="0.25">
      <c r="A27" s="214" t="s">
        <v>677</v>
      </c>
      <c r="B27" s="14"/>
      <c r="C27" s="15"/>
      <c r="D27" s="16" t="s">
        <v>309</v>
      </c>
      <c r="E27" s="17"/>
      <c r="F27" s="18"/>
      <c r="G27" s="18"/>
      <c r="H27" s="18"/>
      <c r="I27" s="31"/>
      <c r="J27" s="215"/>
    </row>
    <row r="28" spans="1:18" ht="47.25" x14ac:dyDescent="0.25">
      <c r="A28" s="216" t="s">
        <v>678</v>
      </c>
      <c r="B28" s="21" t="s">
        <v>305</v>
      </c>
      <c r="C28" s="19">
        <v>93358</v>
      </c>
      <c r="D28" s="20" t="s">
        <v>317</v>
      </c>
      <c r="E28" s="21" t="s">
        <v>248</v>
      </c>
      <c r="F28" s="22">
        <f>'MEMÓRIAL DE CÁLCULO.'!H25</f>
        <v>77.372800000000012</v>
      </c>
      <c r="G28" s="53">
        <v>59.02</v>
      </c>
      <c r="H28" s="23">
        <f t="shared" ref="H28:H31" si="6">G28*(1+$J$11)</f>
        <v>75.504286000000008</v>
      </c>
      <c r="I28" s="25">
        <f t="shared" ref="I28:I31" si="7">G28*F28</f>
        <v>4566.5426560000005</v>
      </c>
      <c r="J28" s="217">
        <f t="shared" ref="J28:J31" si="8">H28*F28</f>
        <v>5841.9780198208018</v>
      </c>
    </row>
    <row r="29" spans="1:18" ht="63" x14ac:dyDescent="0.25">
      <c r="A29" s="216" t="s">
        <v>679</v>
      </c>
      <c r="B29" s="185" t="s">
        <v>305</v>
      </c>
      <c r="C29" s="186">
        <v>94963</v>
      </c>
      <c r="D29" s="73" t="s">
        <v>344</v>
      </c>
      <c r="E29" s="185" t="s">
        <v>248</v>
      </c>
      <c r="F29" s="75">
        <f>'MEMÓRIAL DE CÁLCULO.'!I26</f>
        <v>33.566933333333338</v>
      </c>
      <c r="G29" s="138">
        <v>357.98</v>
      </c>
      <c r="H29" s="138">
        <f t="shared" si="6"/>
        <v>457.96381400000007</v>
      </c>
      <c r="I29" s="138">
        <f t="shared" si="7"/>
        <v>12016.290794666669</v>
      </c>
      <c r="J29" s="218">
        <f t="shared" si="8"/>
        <v>15372.440813617071</v>
      </c>
    </row>
    <row r="30" spans="1:18" ht="63" x14ac:dyDescent="0.25">
      <c r="A30" s="216" t="s">
        <v>680</v>
      </c>
      <c r="B30" s="185" t="s">
        <v>305</v>
      </c>
      <c r="C30" s="186">
        <v>103670</v>
      </c>
      <c r="D30" s="73" t="s">
        <v>345</v>
      </c>
      <c r="E30" s="185" t="s">
        <v>248</v>
      </c>
      <c r="F30" s="75">
        <f>'MEMÓRIAL DE CÁLCULO.'!H28</f>
        <v>33.566933333333338</v>
      </c>
      <c r="G30" s="138">
        <v>202.38</v>
      </c>
      <c r="H30" s="138">
        <f t="shared" si="6"/>
        <v>258.90473400000002</v>
      </c>
      <c r="I30" s="138">
        <f t="shared" si="7"/>
        <v>6793.2759680000008</v>
      </c>
      <c r="J30" s="218">
        <f t="shared" si="8"/>
        <v>8690.6379458624015</v>
      </c>
    </row>
    <row r="31" spans="1:18" ht="141.75" x14ac:dyDescent="0.25">
      <c r="A31" s="216" t="s">
        <v>681</v>
      </c>
      <c r="B31" s="185" t="s">
        <v>305</v>
      </c>
      <c r="C31" s="186">
        <v>103326</v>
      </c>
      <c r="D31" s="73" t="s">
        <v>546</v>
      </c>
      <c r="E31" s="185" t="s">
        <v>4</v>
      </c>
      <c r="F31" s="22">
        <f>'MEMÓRIAL DE CÁLCULO.'!H29</f>
        <v>96.716000000000008</v>
      </c>
      <c r="G31" s="138">
        <v>79.69</v>
      </c>
      <c r="H31" s="138">
        <f t="shared" si="6"/>
        <v>101.947417</v>
      </c>
      <c r="I31" s="138">
        <f t="shared" si="7"/>
        <v>7707.2980400000006</v>
      </c>
      <c r="J31" s="218">
        <f t="shared" si="8"/>
        <v>9859.9463825720013</v>
      </c>
    </row>
    <row r="32" spans="1:18" x14ac:dyDescent="0.25">
      <c r="A32" s="240" t="s">
        <v>357</v>
      </c>
      <c r="B32" s="241"/>
      <c r="C32" s="241"/>
      <c r="D32" s="241"/>
      <c r="E32" s="241"/>
      <c r="F32" s="241"/>
      <c r="G32" s="241"/>
      <c r="H32" s="242"/>
      <c r="I32" s="35">
        <f>SUM(I28:I31)</f>
        <v>31083.407458666672</v>
      </c>
      <c r="J32" s="219">
        <f>SUM(J28:J31)</f>
        <v>39765.003161872279</v>
      </c>
    </row>
    <row r="33" spans="1:11" x14ac:dyDescent="0.25">
      <c r="A33" s="214" t="s">
        <v>682</v>
      </c>
      <c r="B33" s="14"/>
      <c r="C33" s="15"/>
      <c r="D33" s="16" t="s">
        <v>310</v>
      </c>
      <c r="E33" s="17"/>
      <c r="F33" s="18"/>
      <c r="G33" s="18"/>
      <c r="H33" s="32"/>
      <c r="I33" s="31"/>
      <c r="J33" s="215"/>
    </row>
    <row r="34" spans="1:11" ht="110.25" x14ac:dyDescent="0.25">
      <c r="A34" s="220" t="s">
        <v>683</v>
      </c>
      <c r="B34" s="185" t="s">
        <v>305</v>
      </c>
      <c r="C34" s="186">
        <v>103328</v>
      </c>
      <c r="D34" s="73" t="s">
        <v>788</v>
      </c>
      <c r="E34" s="185" t="s">
        <v>4</v>
      </c>
      <c r="F34" s="75">
        <f>'MEMÓRIAL DE CÁLCULO.'!H32</f>
        <v>1063.876</v>
      </c>
      <c r="G34" s="138">
        <v>69.86</v>
      </c>
      <c r="H34" s="138">
        <f>G34*(1+$J$11)</f>
        <v>89.371898000000002</v>
      </c>
      <c r="I34" s="138">
        <f>G34*F34</f>
        <v>74322.377359999999</v>
      </c>
      <c r="J34" s="218">
        <f t="shared" ref="J34:J35" si="9">H34*F34</f>
        <v>95080.617356647999</v>
      </c>
      <c r="K34" s="84"/>
    </row>
    <row r="35" spans="1:11" ht="78.75" x14ac:dyDescent="0.25">
      <c r="A35" s="220" t="s">
        <v>684</v>
      </c>
      <c r="B35" s="189" t="s">
        <v>305</v>
      </c>
      <c r="C35" s="186">
        <v>95957</v>
      </c>
      <c r="D35" s="73" t="s">
        <v>789</v>
      </c>
      <c r="E35" s="185" t="s">
        <v>248</v>
      </c>
      <c r="F35" s="75">
        <f>'MEMÓRIAL DE CÁLCULO.'!I33</f>
        <v>30.0352</v>
      </c>
      <c r="G35" s="138">
        <v>3571.32</v>
      </c>
      <c r="H35" s="138">
        <f>G35*(1+$J$11)</f>
        <v>4568.7896760000003</v>
      </c>
      <c r="I35" s="138">
        <f>G35*F35</f>
        <v>107265.31046400001</v>
      </c>
      <c r="J35" s="218">
        <f t="shared" si="9"/>
        <v>137224.5116765952</v>
      </c>
    </row>
    <row r="36" spans="1:11" x14ac:dyDescent="0.25">
      <c r="A36" s="240" t="s">
        <v>358</v>
      </c>
      <c r="B36" s="241"/>
      <c r="C36" s="241"/>
      <c r="D36" s="241"/>
      <c r="E36" s="241"/>
      <c r="F36" s="241"/>
      <c r="G36" s="241"/>
      <c r="H36" s="242"/>
      <c r="I36" s="35">
        <f>SUM(I34:I35)</f>
        <v>181587.68782400002</v>
      </c>
      <c r="J36" s="219">
        <f>SUM(J34:J35)</f>
        <v>232305.1290332432</v>
      </c>
    </row>
    <row r="37" spans="1:11" x14ac:dyDescent="0.25">
      <c r="A37" s="214" t="s">
        <v>685</v>
      </c>
      <c r="B37" s="14"/>
      <c r="C37" s="15"/>
      <c r="D37" s="16" t="s">
        <v>283</v>
      </c>
      <c r="E37" s="17"/>
      <c r="F37" s="18"/>
      <c r="G37" s="18"/>
      <c r="H37" s="32"/>
      <c r="I37" s="31"/>
      <c r="J37" s="215"/>
    </row>
    <row r="38" spans="1:11" ht="126" x14ac:dyDescent="0.25">
      <c r="A38" s="216" t="s">
        <v>686</v>
      </c>
      <c r="B38" s="21" t="s">
        <v>305</v>
      </c>
      <c r="C38" s="19">
        <v>87894</v>
      </c>
      <c r="D38" s="20" t="s">
        <v>548</v>
      </c>
      <c r="E38" s="21" t="s">
        <v>4</v>
      </c>
      <c r="F38" s="22">
        <f>F34*2</f>
        <v>2127.752</v>
      </c>
      <c r="G38" s="23">
        <v>5.0599999999999996</v>
      </c>
      <c r="H38" s="23">
        <f>G38*(1+$J$11)</f>
        <v>6.4732580000000004</v>
      </c>
      <c r="I38" s="25">
        <f>G38*F38</f>
        <v>10766.425119999998</v>
      </c>
      <c r="J38" s="217">
        <f t="shared" ref="J38:J39" si="10">H38*F38</f>
        <v>13773.487656016001</v>
      </c>
    </row>
    <row r="39" spans="1:11" ht="157.5" x14ac:dyDescent="0.25">
      <c r="A39" s="216" t="s">
        <v>687</v>
      </c>
      <c r="B39" s="185" t="s">
        <v>305</v>
      </c>
      <c r="C39" s="186">
        <v>87529</v>
      </c>
      <c r="D39" s="73" t="s">
        <v>549</v>
      </c>
      <c r="E39" s="185" t="s">
        <v>4</v>
      </c>
      <c r="F39" s="75">
        <f>'MEMÓRIAL DE CÁLCULO.'!H37</f>
        <v>686.40000000000009</v>
      </c>
      <c r="G39" s="138">
        <v>29.53</v>
      </c>
      <c r="H39" s="138">
        <f>G39*(1+$J$11)</f>
        <v>37.777729000000008</v>
      </c>
      <c r="I39" s="138">
        <f>G39*F39</f>
        <v>20269.392000000003</v>
      </c>
      <c r="J39" s="218">
        <f t="shared" si="10"/>
        <v>25930.633185600011</v>
      </c>
    </row>
    <row r="40" spans="1:11" x14ac:dyDescent="0.25">
      <c r="A40" s="240" t="s">
        <v>359</v>
      </c>
      <c r="B40" s="241"/>
      <c r="C40" s="241"/>
      <c r="D40" s="241"/>
      <c r="E40" s="241"/>
      <c r="F40" s="241"/>
      <c r="G40" s="241"/>
      <c r="H40" s="242"/>
      <c r="I40" s="35">
        <f>SUM(I38:I39)</f>
        <v>31035.81712</v>
      </c>
      <c r="J40" s="219">
        <f>SUM(J38:J39)</f>
        <v>39704.120841616008</v>
      </c>
    </row>
    <row r="41" spans="1:11" x14ac:dyDescent="0.25">
      <c r="A41" s="214" t="s">
        <v>688</v>
      </c>
      <c r="B41" s="14"/>
      <c r="C41" s="15"/>
      <c r="D41" s="16" t="s">
        <v>9</v>
      </c>
      <c r="E41" s="17"/>
      <c r="F41" s="18"/>
      <c r="G41" s="18"/>
      <c r="H41" s="32"/>
      <c r="I41" s="31"/>
      <c r="J41" s="215"/>
    </row>
    <row r="42" spans="1:11" ht="47.25" x14ac:dyDescent="0.25">
      <c r="A42" s="220" t="s">
        <v>689</v>
      </c>
      <c r="B42" s="185" t="s">
        <v>305</v>
      </c>
      <c r="C42" s="186">
        <v>95305</v>
      </c>
      <c r="D42" s="187" t="s">
        <v>323</v>
      </c>
      <c r="E42" s="185" t="s">
        <v>4</v>
      </c>
      <c r="F42" s="75">
        <f>'MEMÓRIAL DE CÁLCULO.'!H40</f>
        <v>686.40000000000009</v>
      </c>
      <c r="G42" s="138">
        <v>9.57</v>
      </c>
      <c r="H42" s="138">
        <f>G42*(1+$J$11)</f>
        <v>12.242901000000002</v>
      </c>
      <c r="I42" s="138">
        <f>G42*F42</f>
        <v>6568.8480000000009</v>
      </c>
      <c r="J42" s="218">
        <f t="shared" ref="J42" si="11">H42*F42</f>
        <v>8403.5272464000027</v>
      </c>
    </row>
    <row r="43" spans="1:11" ht="110.25" x14ac:dyDescent="0.25">
      <c r="A43" s="220" t="s">
        <v>690</v>
      </c>
      <c r="B43" s="185" t="s">
        <v>305</v>
      </c>
      <c r="C43" s="186">
        <v>100758</v>
      </c>
      <c r="D43" s="73" t="s">
        <v>665</v>
      </c>
      <c r="E43" s="185" t="s">
        <v>4</v>
      </c>
      <c r="F43" s="75">
        <f>'MEMÓRIAL DE CÁLCULO.'!H41</f>
        <v>17.600000000000001</v>
      </c>
      <c r="G43" s="138">
        <v>35.33</v>
      </c>
      <c r="H43" s="138">
        <f>G43*(1+$J$11)</f>
        <v>45.197669000000005</v>
      </c>
      <c r="I43" s="138">
        <f>G43*F43</f>
        <v>621.80799999999999</v>
      </c>
      <c r="J43" s="218">
        <f t="shared" ref="J43" si="12">H43*F43</f>
        <v>795.4789744000002</v>
      </c>
    </row>
    <row r="44" spans="1:11" x14ac:dyDescent="0.25">
      <c r="A44" s="240" t="s">
        <v>644</v>
      </c>
      <c r="B44" s="241"/>
      <c r="C44" s="241"/>
      <c r="D44" s="241"/>
      <c r="E44" s="241"/>
      <c r="F44" s="241"/>
      <c r="G44" s="241"/>
      <c r="H44" s="242"/>
      <c r="I44" s="35">
        <f>SUM(I42:I43)</f>
        <v>7190.6560000000009</v>
      </c>
      <c r="J44" s="219">
        <f>SUM(J42:J43)</f>
        <v>9199.0062208000036</v>
      </c>
    </row>
    <row r="45" spans="1:11" x14ac:dyDescent="0.25">
      <c r="A45" s="214" t="s">
        <v>691</v>
      </c>
      <c r="B45" s="14"/>
      <c r="C45" s="15"/>
      <c r="D45" s="16" t="s">
        <v>3</v>
      </c>
      <c r="E45" s="17"/>
      <c r="F45" s="18"/>
      <c r="G45" s="18"/>
      <c r="H45" s="32"/>
      <c r="I45" s="31"/>
      <c r="J45" s="215"/>
    </row>
    <row r="46" spans="1:11" ht="74.25" customHeight="1" x14ac:dyDescent="0.25">
      <c r="A46" s="220" t="s">
        <v>692</v>
      </c>
      <c r="B46" s="185" t="s">
        <v>307</v>
      </c>
      <c r="C46" s="186">
        <v>9290</v>
      </c>
      <c r="D46" s="73" t="s">
        <v>666</v>
      </c>
      <c r="E46" s="185" t="s">
        <v>4</v>
      </c>
      <c r="F46" s="75">
        <f>'MEMÓRIAL DE CÁLCULO.'!H44</f>
        <v>17.600000000000001</v>
      </c>
      <c r="G46" s="138">
        <v>467.02</v>
      </c>
      <c r="H46" s="138">
        <f>G46*(1+$J$11)</f>
        <v>597.45868600000006</v>
      </c>
      <c r="I46" s="138">
        <f>G46*F46</f>
        <v>8219.5519999999997</v>
      </c>
      <c r="J46" s="218">
        <f t="shared" ref="J46" si="13">H46*F46</f>
        <v>10515.272873600003</v>
      </c>
    </row>
    <row r="47" spans="1:11" x14ac:dyDescent="0.25">
      <c r="A47" s="240" t="s">
        <v>645</v>
      </c>
      <c r="B47" s="241"/>
      <c r="C47" s="241"/>
      <c r="D47" s="241"/>
      <c r="E47" s="241"/>
      <c r="F47" s="241"/>
      <c r="G47" s="241"/>
      <c r="H47" s="242"/>
      <c r="I47" s="35">
        <f>SUM(I46:I46)</f>
        <v>8219.5519999999997</v>
      </c>
      <c r="J47" s="219">
        <f>SUM(J46:J46)</f>
        <v>10515.272873600003</v>
      </c>
    </row>
    <row r="48" spans="1:11" x14ac:dyDescent="0.25">
      <c r="A48" s="221" t="s">
        <v>693</v>
      </c>
      <c r="B48" s="55"/>
      <c r="C48" s="55"/>
      <c r="D48" s="56" t="s">
        <v>2</v>
      </c>
      <c r="E48" s="56"/>
      <c r="F48" s="56"/>
      <c r="G48" s="57"/>
      <c r="H48" s="57"/>
      <c r="I48" s="275"/>
      <c r="J48" s="276"/>
    </row>
    <row r="49" spans="1:10" x14ac:dyDescent="0.25">
      <c r="A49" s="214" t="s">
        <v>694</v>
      </c>
      <c r="B49" s="14"/>
      <c r="C49" s="15"/>
      <c r="D49" s="16" t="s">
        <v>147</v>
      </c>
      <c r="E49" s="17"/>
      <c r="F49" s="18"/>
      <c r="G49" s="18"/>
      <c r="H49" s="32"/>
      <c r="I49" s="31"/>
      <c r="J49" s="222"/>
    </row>
    <row r="50" spans="1:10" ht="47.25" x14ac:dyDescent="0.25">
      <c r="A50" s="216" t="s">
        <v>695</v>
      </c>
      <c r="B50" s="21" t="s">
        <v>305</v>
      </c>
      <c r="C50" s="19">
        <v>93358</v>
      </c>
      <c r="D50" s="20" t="s">
        <v>317</v>
      </c>
      <c r="E50" s="21" t="s">
        <v>248</v>
      </c>
      <c r="F50" s="22">
        <f>'MEMÓRIAL DE CÁLCULO.'!H49</f>
        <v>289.77</v>
      </c>
      <c r="G50" s="53">
        <v>59.02</v>
      </c>
      <c r="H50" s="23">
        <f t="shared" ref="H50:H52" si="14">G50*(1+$J$11)</f>
        <v>75.504286000000008</v>
      </c>
      <c r="I50" s="25">
        <f t="shared" ref="I50:I52" si="15">G50*F50</f>
        <v>17102.225399999999</v>
      </c>
      <c r="J50" s="217">
        <f t="shared" ref="J50" si="16">H50*F50</f>
        <v>21878.876954220003</v>
      </c>
    </row>
    <row r="51" spans="1:10" ht="110.25" x14ac:dyDescent="0.25">
      <c r="A51" s="216" t="s">
        <v>696</v>
      </c>
      <c r="B51" s="21" t="s">
        <v>305</v>
      </c>
      <c r="C51" s="19">
        <v>102690</v>
      </c>
      <c r="D51" s="73" t="s">
        <v>790</v>
      </c>
      <c r="E51" s="21" t="s">
        <v>120</v>
      </c>
      <c r="F51" s="22">
        <f>'MEMÓRIAL DE CÁLCULO.'!H50</f>
        <v>1159.08</v>
      </c>
      <c r="G51" s="23">
        <v>66.19</v>
      </c>
      <c r="H51" s="23">
        <f t="shared" si="14"/>
        <v>84.676867000000001</v>
      </c>
      <c r="I51" s="25">
        <f t="shared" si="15"/>
        <v>76719.5052</v>
      </c>
      <c r="J51" s="217">
        <f t="shared" ref="J51" si="17">H51*F51</f>
        <v>98147.263002359992</v>
      </c>
    </row>
    <row r="52" spans="1:10" ht="31.5" x14ac:dyDescent="0.25">
      <c r="A52" s="216" t="s">
        <v>697</v>
      </c>
      <c r="B52" s="21" t="s">
        <v>311</v>
      </c>
      <c r="C52" s="19">
        <v>6</v>
      </c>
      <c r="D52" s="73" t="s">
        <v>325</v>
      </c>
      <c r="E52" s="21" t="s">
        <v>37</v>
      </c>
      <c r="F52" s="22">
        <f>'MEMÓRIAL DE CÁLCULO.'!H53</f>
        <v>6</v>
      </c>
      <c r="G52" s="23">
        <f>COMPOSIÇÕES!D158</f>
        <v>161.11835000000002</v>
      </c>
      <c r="H52" s="23">
        <f t="shared" si="14"/>
        <v>206.11870515500004</v>
      </c>
      <c r="I52" s="25">
        <f t="shared" si="15"/>
        <v>966.71010000000012</v>
      </c>
      <c r="J52" s="217">
        <f t="shared" ref="J52" si="18">H52*F52</f>
        <v>1236.7122309300003</v>
      </c>
    </row>
    <row r="53" spans="1:10" x14ac:dyDescent="0.25">
      <c r="A53" s="277" t="s">
        <v>360</v>
      </c>
      <c r="B53" s="278"/>
      <c r="C53" s="278"/>
      <c r="D53" s="278"/>
      <c r="E53" s="278"/>
      <c r="F53" s="278"/>
      <c r="G53" s="278"/>
      <c r="H53" s="278"/>
      <c r="I53" s="35">
        <f>SUM(I50:I52)</f>
        <v>94788.440699999992</v>
      </c>
      <c r="J53" s="219">
        <f>SUM(J50:J52)</f>
        <v>121262.85218751</v>
      </c>
    </row>
    <row r="54" spans="1:10" x14ac:dyDescent="0.25">
      <c r="A54" s="214" t="s">
        <v>698</v>
      </c>
      <c r="B54" s="14"/>
      <c r="C54" s="15"/>
      <c r="D54" s="16" t="s">
        <v>354</v>
      </c>
      <c r="E54" s="17"/>
      <c r="F54" s="18"/>
      <c r="G54" s="18"/>
      <c r="H54" s="32"/>
      <c r="I54" s="31"/>
      <c r="J54" s="222"/>
    </row>
    <row r="55" spans="1:10" s="84" customFormat="1" ht="47.25" x14ac:dyDescent="0.25">
      <c r="A55" s="216" t="s">
        <v>699</v>
      </c>
      <c r="B55" s="21" t="s">
        <v>305</v>
      </c>
      <c r="C55" s="19">
        <v>93358</v>
      </c>
      <c r="D55" s="20" t="s">
        <v>317</v>
      </c>
      <c r="E55" s="21" t="s">
        <v>248</v>
      </c>
      <c r="F55" s="22">
        <f>'MEMÓRIAL DE CÁLCULO.'!H56</f>
        <v>11.2818</v>
      </c>
      <c r="G55" s="53">
        <v>59.02</v>
      </c>
      <c r="H55" s="23">
        <f t="shared" ref="H55:H62" si="19">G55*(1+$J$11)</f>
        <v>75.504286000000008</v>
      </c>
      <c r="I55" s="25">
        <f t="shared" ref="I55" si="20">G55*F55</f>
        <v>665.85183600000005</v>
      </c>
      <c r="J55" s="217">
        <f t="shared" ref="J55" si="21">H55*F55</f>
        <v>851.82425379480014</v>
      </c>
    </row>
    <row r="56" spans="1:10" ht="47.25" x14ac:dyDescent="0.25">
      <c r="A56" s="216" t="s">
        <v>700</v>
      </c>
      <c r="B56" s="185" t="s">
        <v>307</v>
      </c>
      <c r="C56" s="186">
        <v>8219</v>
      </c>
      <c r="D56" s="73" t="s">
        <v>535</v>
      </c>
      <c r="E56" s="185" t="s">
        <v>37</v>
      </c>
      <c r="F56" s="22">
        <f>'MEMÓRIAL DE CÁLCULO.'!H57</f>
        <v>1</v>
      </c>
      <c r="G56" s="138">
        <v>5181.33</v>
      </c>
      <c r="H56" s="23">
        <f t="shared" si="19"/>
        <v>6628.4754690000009</v>
      </c>
      <c r="I56" s="25">
        <f t="shared" ref="I56" si="22">G56*F56</f>
        <v>5181.33</v>
      </c>
      <c r="J56" s="217">
        <f t="shared" ref="J56" si="23">H56*F56</f>
        <v>6628.4754690000009</v>
      </c>
    </row>
    <row r="57" spans="1:10" ht="63" x14ac:dyDescent="0.25">
      <c r="A57" s="216" t="s">
        <v>701</v>
      </c>
      <c r="B57" s="185" t="s">
        <v>307</v>
      </c>
      <c r="C57" s="186">
        <v>9812</v>
      </c>
      <c r="D57" s="73" t="s">
        <v>536</v>
      </c>
      <c r="E57" s="185" t="s">
        <v>37</v>
      </c>
      <c r="F57" s="22">
        <f>'MEMÓRIAL DE CÁLCULO.'!H58</f>
        <v>1</v>
      </c>
      <c r="G57" s="138">
        <v>1918.17</v>
      </c>
      <c r="H57" s="23">
        <f t="shared" si="19"/>
        <v>2453.9148810000002</v>
      </c>
      <c r="I57" s="25">
        <f t="shared" ref="I57:I60" si="24">G57*F57</f>
        <v>1918.17</v>
      </c>
      <c r="J57" s="217">
        <f t="shared" ref="J57:J60" si="25">H57*F57</f>
        <v>2453.9148810000002</v>
      </c>
    </row>
    <row r="58" spans="1:10" ht="96" customHeight="1" x14ac:dyDescent="0.25">
      <c r="A58" s="216" t="s">
        <v>702</v>
      </c>
      <c r="B58" s="185" t="s">
        <v>305</v>
      </c>
      <c r="C58" s="186">
        <v>89413</v>
      </c>
      <c r="D58" s="73" t="s">
        <v>531</v>
      </c>
      <c r="E58" s="185" t="s">
        <v>37</v>
      </c>
      <c r="F58" s="22">
        <f>'MEMÓRIAL DE CÁLCULO.'!H59</f>
        <v>4</v>
      </c>
      <c r="G58" s="138">
        <v>5.73</v>
      </c>
      <c r="H58" s="23">
        <f t="shared" si="19"/>
        <v>7.3303890000000012</v>
      </c>
      <c r="I58" s="25">
        <f t="shared" si="24"/>
        <v>22.92</v>
      </c>
      <c r="J58" s="217">
        <f t="shared" si="25"/>
        <v>29.321556000000005</v>
      </c>
    </row>
    <row r="59" spans="1:10" ht="63" x14ac:dyDescent="0.25">
      <c r="A59" s="216" t="s">
        <v>703</v>
      </c>
      <c r="B59" s="185" t="s">
        <v>305</v>
      </c>
      <c r="C59" s="186" t="s">
        <v>533</v>
      </c>
      <c r="D59" s="73" t="s">
        <v>532</v>
      </c>
      <c r="E59" s="185" t="s">
        <v>120</v>
      </c>
      <c r="F59" s="22">
        <f>'MEMÓRIAL DE CÁLCULO.'!H60</f>
        <v>403.88</v>
      </c>
      <c r="G59" s="138">
        <v>9.65</v>
      </c>
      <c r="H59" s="23">
        <f t="shared" si="19"/>
        <v>12.345245000000002</v>
      </c>
      <c r="I59" s="25">
        <f t="shared" si="24"/>
        <v>3897.442</v>
      </c>
      <c r="J59" s="217">
        <f t="shared" si="25"/>
        <v>4985.997550600001</v>
      </c>
    </row>
    <row r="60" spans="1:10" ht="47.25" x14ac:dyDescent="0.25">
      <c r="A60" s="216" t="s">
        <v>704</v>
      </c>
      <c r="B60" s="185" t="s">
        <v>305</v>
      </c>
      <c r="C60" s="19">
        <v>72809</v>
      </c>
      <c r="D60" s="52" t="s">
        <v>534</v>
      </c>
      <c r="E60" s="185" t="s">
        <v>37</v>
      </c>
      <c r="F60" s="22">
        <f>'MEMÓRIAL DE CÁLCULO.'!H61</f>
        <v>15</v>
      </c>
      <c r="G60" s="23">
        <v>11.43</v>
      </c>
      <c r="H60" s="23">
        <f t="shared" si="19"/>
        <v>14.622399000000001</v>
      </c>
      <c r="I60" s="25">
        <f t="shared" si="24"/>
        <v>171.45</v>
      </c>
      <c r="J60" s="217">
        <f t="shared" si="25"/>
        <v>219.33598500000002</v>
      </c>
    </row>
    <row r="61" spans="1:10" ht="78.75" x14ac:dyDescent="0.25">
      <c r="A61" s="216" t="s">
        <v>705</v>
      </c>
      <c r="B61" s="185" t="s">
        <v>307</v>
      </c>
      <c r="C61" s="19">
        <v>9461</v>
      </c>
      <c r="D61" s="52" t="s">
        <v>537</v>
      </c>
      <c r="E61" s="185" t="s">
        <v>37</v>
      </c>
      <c r="F61" s="22">
        <f>'MEMÓRIAL DE CÁLCULO.'!H62</f>
        <v>15</v>
      </c>
      <c r="G61" s="23">
        <v>329.35</v>
      </c>
      <c r="H61" s="23">
        <f t="shared" si="19"/>
        <v>421.33745500000009</v>
      </c>
      <c r="I61" s="25">
        <f t="shared" ref="I61" si="26">G61*F61</f>
        <v>4940.25</v>
      </c>
      <c r="J61" s="217">
        <f t="shared" ref="J61" si="27">H61*F61</f>
        <v>6320.0618250000016</v>
      </c>
    </row>
    <row r="62" spans="1:10" ht="31.5" x14ac:dyDescent="0.25">
      <c r="A62" s="216" t="s">
        <v>706</v>
      </c>
      <c r="B62" s="185" t="s">
        <v>307</v>
      </c>
      <c r="C62" s="19">
        <v>9813</v>
      </c>
      <c r="D62" s="52" t="s">
        <v>538</v>
      </c>
      <c r="E62" s="185" t="s">
        <v>37</v>
      </c>
      <c r="F62" s="22">
        <f>'MEMÓRIAL DE CÁLCULO.'!H63</f>
        <v>15</v>
      </c>
      <c r="G62" s="23">
        <v>196.01</v>
      </c>
      <c r="H62" s="23">
        <f t="shared" si="19"/>
        <v>250.755593</v>
      </c>
      <c r="I62" s="25">
        <f t="shared" ref="I62" si="28">G62*F62</f>
        <v>2940.1499999999996</v>
      </c>
      <c r="J62" s="217">
        <f t="shared" ref="J62" si="29">H62*F62</f>
        <v>3761.3338950000002</v>
      </c>
    </row>
    <row r="63" spans="1:10" x14ac:dyDescent="0.25">
      <c r="A63" s="277" t="s">
        <v>361</v>
      </c>
      <c r="B63" s="278"/>
      <c r="C63" s="278"/>
      <c r="D63" s="278"/>
      <c r="E63" s="278"/>
      <c r="F63" s="278"/>
      <c r="G63" s="278"/>
      <c r="H63" s="278"/>
      <c r="I63" s="35">
        <f>SUM(I55:I62)</f>
        <v>19737.563836000001</v>
      </c>
      <c r="J63" s="219">
        <f>SUM(J55:J62)</f>
        <v>25250.265415394802</v>
      </c>
    </row>
    <row r="64" spans="1:10" ht="15.75" customHeight="1" x14ac:dyDescent="0.25">
      <c r="A64" s="214" t="s">
        <v>787</v>
      </c>
      <c r="B64" s="14"/>
      <c r="C64" s="15"/>
      <c r="D64" s="16" t="s">
        <v>353</v>
      </c>
      <c r="E64" s="17"/>
      <c r="F64" s="18"/>
      <c r="G64" s="18"/>
      <c r="H64" s="32"/>
      <c r="I64" s="31"/>
      <c r="J64" s="222"/>
    </row>
    <row r="65" spans="1:11" ht="31.5" x14ac:dyDescent="0.25">
      <c r="A65" s="220" t="s">
        <v>707</v>
      </c>
      <c r="B65" s="185" t="s">
        <v>305</v>
      </c>
      <c r="C65" s="186">
        <v>98504</v>
      </c>
      <c r="D65" s="73" t="s">
        <v>545</v>
      </c>
      <c r="E65" s="185" t="s">
        <v>4</v>
      </c>
      <c r="F65" s="75">
        <f>'MEMÓRIAL DE CÁLCULO.'!H66</f>
        <v>6176.64</v>
      </c>
      <c r="G65" s="138">
        <v>15.03</v>
      </c>
      <c r="H65" s="138">
        <f>G65*(1+$J$11)</f>
        <v>19.227879000000001</v>
      </c>
      <c r="I65" s="138">
        <f>G65*F65</f>
        <v>92834.8992</v>
      </c>
      <c r="J65" s="218">
        <f>H65*F65</f>
        <v>118763.68654656001</v>
      </c>
    </row>
    <row r="66" spans="1:11" ht="63" x14ac:dyDescent="0.25">
      <c r="A66" s="220" t="s">
        <v>708</v>
      </c>
      <c r="B66" s="185" t="s">
        <v>311</v>
      </c>
      <c r="C66" s="186">
        <v>3</v>
      </c>
      <c r="D66" s="73" t="s">
        <v>553</v>
      </c>
      <c r="E66" s="185" t="s">
        <v>4</v>
      </c>
      <c r="F66" s="75">
        <f>'MEMÓRIAL DE CÁLCULO.'!H67</f>
        <v>6176.64</v>
      </c>
      <c r="G66" s="138">
        <f>COMPOSIÇÕES!F128</f>
        <v>14.542000000000002</v>
      </c>
      <c r="H66" s="138">
        <f>G66*(1+$J$11)</f>
        <v>18.603580600000004</v>
      </c>
      <c r="I66" s="138">
        <f>G66*F66</f>
        <v>89820.698880000011</v>
      </c>
      <c r="J66" s="218">
        <f>H66*F66</f>
        <v>114907.62007718404</v>
      </c>
    </row>
    <row r="67" spans="1:11" x14ac:dyDescent="0.25">
      <c r="A67" s="240" t="s">
        <v>362</v>
      </c>
      <c r="B67" s="241"/>
      <c r="C67" s="241"/>
      <c r="D67" s="241"/>
      <c r="E67" s="241"/>
      <c r="F67" s="241"/>
      <c r="G67" s="241"/>
      <c r="H67" s="242"/>
      <c r="I67" s="35">
        <f>SUM(I65:I66)</f>
        <v>182655.59808000003</v>
      </c>
      <c r="J67" s="219">
        <f>SUM(J65:J66)</f>
        <v>233671.30662374405</v>
      </c>
    </row>
    <row r="68" spans="1:11" x14ac:dyDescent="0.25">
      <c r="A68" s="223" t="s">
        <v>709</v>
      </c>
      <c r="B68" s="15"/>
      <c r="C68" s="76"/>
      <c r="D68" s="77" t="s">
        <v>671</v>
      </c>
      <c r="E68" s="18"/>
      <c r="F68" s="18"/>
      <c r="G68" s="31"/>
      <c r="H68" s="78"/>
      <c r="I68" s="78"/>
      <c r="J68" s="224"/>
    </row>
    <row r="69" spans="1:11" x14ac:dyDescent="0.25">
      <c r="A69" s="214" t="s">
        <v>112</v>
      </c>
      <c r="B69" s="15"/>
      <c r="C69" s="15"/>
      <c r="D69" s="16" t="s">
        <v>309</v>
      </c>
      <c r="E69" s="18"/>
      <c r="F69" s="18"/>
      <c r="G69" s="31"/>
      <c r="H69" s="31"/>
      <c r="I69" s="31"/>
      <c r="J69" s="225"/>
    </row>
    <row r="70" spans="1:11" ht="47.25" x14ac:dyDescent="0.25">
      <c r="A70" s="216" t="s">
        <v>318</v>
      </c>
      <c r="B70" s="21" t="s">
        <v>305</v>
      </c>
      <c r="C70" s="19">
        <v>93358</v>
      </c>
      <c r="D70" s="20" t="s">
        <v>317</v>
      </c>
      <c r="E70" s="21" t="s">
        <v>248</v>
      </c>
      <c r="F70" s="22">
        <f>'MEMÓRIAL DE CÁLCULO.'!H72</f>
        <v>19.591200000000001</v>
      </c>
      <c r="G70" s="53">
        <v>59.02</v>
      </c>
      <c r="H70" s="23">
        <f t="shared" ref="H70:H75" si="30">G70*(1+$J$11)</f>
        <v>75.504286000000008</v>
      </c>
      <c r="I70" s="25">
        <f>G70*F70</f>
        <v>1156.2726240000002</v>
      </c>
      <c r="J70" s="217">
        <f>H70*F70</f>
        <v>1479.2195678832002</v>
      </c>
    </row>
    <row r="71" spans="1:11" ht="63" x14ac:dyDescent="0.25">
      <c r="A71" s="216" t="s">
        <v>319</v>
      </c>
      <c r="B71" s="21" t="s">
        <v>305</v>
      </c>
      <c r="C71" s="19">
        <v>94963</v>
      </c>
      <c r="D71" s="20" t="s">
        <v>344</v>
      </c>
      <c r="E71" s="21" t="s">
        <v>248</v>
      </c>
      <c r="F71" s="22">
        <f>'MEMÓRIAL DE CÁLCULO.'!I73</f>
        <v>8.4366999999999983</v>
      </c>
      <c r="G71" s="23">
        <v>357.98</v>
      </c>
      <c r="H71" s="23">
        <f t="shared" si="30"/>
        <v>457.96381400000007</v>
      </c>
      <c r="I71" s="25">
        <f t="shared" ref="I71:I75" si="31">G71*F71</f>
        <v>3020.1698659999997</v>
      </c>
      <c r="J71" s="217">
        <f t="shared" ref="J71:J75" si="32">H71*F71</f>
        <v>3863.7033095737997</v>
      </c>
    </row>
    <row r="72" spans="1:11" ht="63" x14ac:dyDescent="0.25">
      <c r="A72" s="216" t="s">
        <v>320</v>
      </c>
      <c r="B72" s="189" t="s">
        <v>305</v>
      </c>
      <c r="C72" s="190">
        <v>103670</v>
      </c>
      <c r="D72" s="20" t="s">
        <v>345</v>
      </c>
      <c r="E72" s="21" t="s">
        <v>248</v>
      </c>
      <c r="F72" s="22">
        <f>'MEMÓRIAL DE CÁLCULO.'!H75</f>
        <v>8.4366999999999983</v>
      </c>
      <c r="G72" s="23">
        <v>202.38</v>
      </c>
      <c r="H72" s="23">
        <f t="shared" si="30"/>
        <v>258.90473400000002</v>
      </c>
      <c r="I72" s="25">
        <f t="shared" si="31"/>
        <v>1707.4193459999997</v>
      </c>
      <c r="J72" s="217">
        <f t="shared" si="32"/>
        <v>2184.3015693377997</v>
      </c>
    </row>
    <row r="73" spans="1:11" ht="141.75" x14ac:dyDescent="0.25">
      <c r="A73" s="216" t="s">
        <v>321</v>
      </c>
      <c r="B73" s="185" t="s">
        <v>305</v>
      </c>
      <c r="C73" s="186">
        <v>87481</v>
      </c>
      <c r="D73" s="73" t="s">
        <v>546</v>
      </c>
      <c r="E73" s="185" t="s">
        <v>4</v>
      </c>
      <c r="F73" s="22">
        <f>'MEMÓRIAL DE CÁLCULO.'!H76</f>
        <v>24.488999999999997</v>
      </c>
      <c r="G73" s="138">
        <v>79.69</v>
      </c>
      <c r="H73" s="138">
        <f t="shared" si="30"/>
        <v>101.947417</v>
      </c>
      <c r="I73" s="138">
        <f t="shared" si="31"/>
        <v>1951.5284099999997</v>
      </c>
      <c r="J73" s="218">
        <f t="shared" si="32"/>
        <v>2496.590294913</v>
      </c>
    </row>
    <row r="74" spans="1:11" ht="110.25" x14ac:dyDescent="0.25">
      <c r="A74" s="216" t="s">
        <v>710</v>
      </c>
      <c r="B74" s="185" t="s">
        <v>307</v>
      </c>
      <c r="C74" s="186">
        <v>6456</v>
      </c>
      <c r="D74" s="73" t="s">
        <v>346</v>
      </c>
      <c r="E74" s="185" t="s">
        <v>248</v>
      </c>
      <c r="F74" s="75">
        <f>'MEMÓRIAL DE CÁLCULO.'!H77</f>
        <v>3.2652000000000005</v>
      </c>
      <c r="G74" s="138">
        <v>1442.73</v>
      </c>
      <c r="H74" s="138">
        <f>G74*(1+$J$11)</f>
        <v>1845.6844890000002</v>
      </c>
      <c r="I74" s="138">
        <f>G74*F74</f>
        <v>4710.8019960000011</v>
      </c>
      <c r="J74" s="218">
        <f t="shared" si="32"/>
        <v>6026.5289934828015</v>
      </c>
    </row>
    <row r="75" spans="1:11" ht="47.25" x14ac:dyDescent="0.25">
      <c r="A75" s="216" t="s">
        <v>711</v>
      </c>
      <c r="B75" s="185" t="s">
        <v>305</v>
      </c>
      <c r="C75" s="186" t="s">
        <v>288</v>
      </c>
      <c r="D75" s="226" t="s">
        <v>348</v>
      </c>
      <c r="E75" s="185" t="s">
        <v>4</v>
      </c>
      <c r="F75" s="22">
        <f>'MEMÓRIAL DE CÁLCULO.'!H78</f>
        <v>65.304000000000002</v>
      </c>
      <c r="G75" s="138">
        <v>7.92</v>
      </c>
      <c r="H75" s="138">
        <f t="shared" si="30"/>
        <v>10.132056</v>
      </c>
      <c r="I75" s="138">
        <f t="shared" si="31"/>
        <v>517.20767999999998</v>
      </c>
      <c r="J75" s="218">
        <f t="shared" si="32"/>
        <v>661.66378502400005</v>
      </c>
    </row>
    <row r="76" spans="1:11" x14ac:dyDescent="0.25">
      <c r="A76" s="240" t="s">
        <v>646</v>
      </c>
      <c r="B76" s="241"/>
      <c r="C76" s="241"/>
      <c r="D76" s="241"/>
      <c r="E76" s="241"/>
      <c r="F76" s="241"/>
      <c r="G76" s="241"/>
      <c r="H76" s="242"/>
      <c r="I76" s="35">
        <f>SUM(I70:I75)</f>
        <v>13063.399922000001</v>
      </c>
      <c r="J76" s="219">
        <f>SUM(J70:J75)</f>
        <v>16712.0075202146</v>
      </c>
    </row>
    <row r="77" spans="1:11" x14ac:dyDescent="0.25">
      <c r="A77" s="214" t="s">
        <v>113</v>
      </c>
      <c r="B77" s="15"/>
      <c r="C77" s="15"/>
      <c r="D77" s="16" t="s">
        <v>310</v>
      </c>
      <c r="E77" s="18"/>
      <c r="F77" s="18"/>
      <c r="G77" s="31"/>
      <c r="H77" s="31"/>
      <c r="I77" s="31"/>
      <c r="J77" s="225"/>
    </row>
    <row r="78" spans="1:11" ht="141.75" x14ac:dyDescent="0.25">
      <c r="A78" s="216" t="s">
        <v>316</v>
      </c>
      <c r="B78" s="21" t="s">
        <v>305</v>
      </c>
      <c r="C78" s="19">
        <v>87507</v>
      </c>
      <c r="D78" s="20" t="s">
        <v>547</v>
      </c>
      <c r="E78" s="21" t="s">
        <v>4</v>
      </c>
      <c r="F78" s="22">
        <f>'MEMÓRIAL DE CÁLCULO.'!H81</f>
        <v>424.476</v>
      </c>
      <c r="G78" s="23">
        <v>69.86</v>
      </c>
      <c r="H78" s="23">
        <f>G78*(1+$J$11)</f>
        <v>89.371898000000002</v>
      </c>
      <c r="I78" s="25">
        <f t="shared" ref="I78" si="33">G78*F78</f>
        <v>29653.893359999998</v>
      </c>
      <c r="J78" s="217">
        <f t="shared" ref="J78" si="34">H78*F78</f>
        <v>37936.225775448002</v>
      </c>
      <c r="K78" s="84"/>
    </row>
    <row r="79" spans="1:11" ht="110.25" x14ac:dyDescent="0.25">
      <c r="A79" s="216" t="s">
        <v>527</v>
      </c>
      <c r="B79" s="21" t="s">
        <v>307</v>
      </c>
      <c r="C79" s="19">
        <v>6456</v>
      </c>
      <c r="D79" s="20" t="s">
        <v>346</v>
      </c>
      <c r="E79" s="21" t="s">
        <v>248</v>
      </c>
      <c r="F79" s="22">
        <f>'MEMÓRIAL DE CÁLCULO.'!I83</f>
        <v>5.6052</v>
      </c>
      <c r="G79" s="23">
        <v>1442.73</v>
      </c>
      <c r="H79" s="23">
        <f>G79*(1+$J$11)</f>
        <v>1845.6844890000002</v>
      </c>
      <c r="I79" s="25">
        <f t="shared" ref="I79" si="35">G79*F79</f>
        <v>8086.7901959999999</v>
      </c>
      <c r="J79" s="217">
        <f t="shared" ref="J79" si="36">H79*F79</f>
        <v>10345.4306977428</v>
      </c>
    </row>
    <row r="80" spans="1:11" ht="94.5" x14ac:dyDescent="0.25">
      <c r="A80" s="216" t="s">
        <v>712</v>
      </c>
      <c r="B80" s="21" t="s">
        <v>305</v>
      </c>
      <c r="C80" s="19" t="s">
        <v>589</v>
      </c>
      <c r="D80" s="20" t="s">
        <v>590</v>
      </c>
      <c r="E80" s="21" t="s">
        <v>4</v>
      </c>
      <c r="F80" s="22">
        <f>'MEMÓRIAL DE CÁLCULO.'!H84</f>
        <v>262.39</v>
      </c>
      <c r="G80" s="23">
        <v>77.83</v>
      </c>
      <c r="H80" s="23">
        <f>G80*(1+$J$11)</f>
        <v>99.567919000000003</v>
      </c>
      <c r="I80" s="25">
        <f t="shared" ref="I80" si="37">G80*F80</f>
        <v>20421.813699999999</v>
      </c>
      <c r="J80" s="217">
        <f t="shared" ref="J80" si="38">H80*F80</f>
        <v>26125.62626641</v>
      </c>
    </row>
    <row r="81" spans="1:12" x14ac:dyDescent="0.25">
      <c r="A81" s="240" t="s">
        <v>647</v>
      </c>
      <c r="B81" s="241"/>
      <c r="C81" s="241"/>
      <c r="D81" s="241"/>
      <c r="E81" s="241"/>
      <c r="F81" s="241"/>
      <c r="G81" s="241"/>
      <c r="H81" s="242"/>
      <c r="I81" s="35">
        <f>SUM(I78:I80)</f>
        <v>58162.497255999995</v>
      </c>
      <c r="J81" s="219">
        <f>SUM(J78:J80)</f>
        <v>74407.282739600807</v>
      </c>
    </row>
    <row r="82" spans="1:12" x14ac:dyDescent="0.25">
      <c r="A82" s="214" t="s">
        <v>114</v>
      </c>
      <c r="B82" s="15"/>
      <c r="C82" s="15"/>
      <c r="D82" s="16" t="s">
        <v>291</v>
      </c>
      <c r="E82" s="18"/>
      <c r="F82" s="18"/>
      <c r="G82" s="31"/>
      <c r="H82" s="31"/>
      <c r="I82" s="31"/>
      <c r="J82" s="225"/>
    </row>
    <row r="83" spans="1:12" ht="94.5" x14ac:dyDescent="0.25">
      <c r="A83" s="220" t="s">
        <v>355</v>
      </c>
      <c r="B83" s="185" t="s">
        <v>305</v>
      </c>
      <c r="C83" s="186">
        <v>98546</v>
      </c>
      <c r="D83" s="73" t="s">
        <v>363</v>
      </c>
      <c r="E83" s="185" t="s">
        <v>4</v>
      </c>
      <c r="F83" s="75">
        <f>'MEMÓRIAL DE CÁLCULO.'!H87</f>
        <v>262.39</v>
      </c>
      <c r="G83" s="138">
        <v>118.76</v>
      </c>
      <c r="H83" s="138">
        <f>G83*(1+$J$11)</f>
        <v>151.92966800000002</v>
      </c>
      <c r="I83" s="138">
        <f t="shared" ref="I83:I87" si="39">G83*F83</f>
        <v>31161.436399999999</v>
      </c>
      <c r="J83" s="218">
        <f t="shared" ref="J83:J87" si="40">H83*F83</f>
        <v>39864.825586520004</v>
      </c>
    </row>
    <row r="84" spans="1:12" ht="78.75" x14ac:dyDescent="0.25">
      <c r="A84" s="220" t="s">
        <v>356</v>
      </c>
      <c r="B84" s="185" t="s">
        <v>305</v>
      </c>
      <c r="C84" s="186">
        <v>98563</v>
      </c>
      <c r="D84" s="73" t="s">
        <v>364</v>
      </c>
      <c r="E84" s="185" t="s">
        <v>4</v>
      </c>
      <c r="F84" s="75">
        <f>'MEMÓRIAL DE CÁLCULO.'!H88</f>
        <v>262.39</v>
      </c>
      <c r="G84" s="138">
        <v>28.95</v>
      </c>
      <c r="H84" s="138">
        <f>G84*(1+$J$11)</f>
        <v>37.035735000000003</v>
      </c>
      <c r="I84" s="138">
        <f t="shared" si="39"/>
        <v>7596.1904999999997</v>
      </c>
      <c r="J84" s="218">
        <f t="shared" si="40"/>
        <v>9717.8065066500003</v>
      </c>
    </row>
    <row r="85" spans="1:12" x14ac:dyDescent="0.25">
      <c r="A85" s="240" t="s">
        <v>648</v>
      </c>
      <c r="B85" s="241"/>
      <c r="C85" s="241"/>
      <c r="D85" s="241"/>
      <c r="E85" s="241"/>
      <c r="F85" s="241"/>
      <c r="G85" s="241"/>
      <c r="H85" s="242"/>
      <c r="I85" s="35">
        <f>SUM(I83:I84)</f>
        <v>38757.626899999996</v>
      </c>
      <c r="J85" s="219">
        <f>SUM(J83:J84)</f>
        <v>49582.632093170003</v>
      </c>
    </row>
    <row r="86" spans="1:12" x14ac:dyDescent="0.25">
      <c r="A86" s="214" t="s">
        <v>635</v>
      </c>
      <c r="B86" s="15"/>
      <c r="C86" s="15"/>
      <c r="D86" s="81" t="s">
        <v>293</v>
      </c>
      <c r="E86" s="18"/>
      <c r="F86" s="18"/>
      <c r="G86" s="31"/>
      <c r="H86" s="31"/>
      <c r="I86" s="31"/>
      <c r="J86" s="225"/>
    </row>
    <row r="87" spans="1:12" ht="63" x14ac:dyDescent="0.25">
      <c r="A87" s="220" t="s">
        <v>636</v>
      </c>
      <c r="B87" s="185" t="s">
        <v>305</v>
      </c>
      <c r="C87" s="146">
        <v>96620</v>
      </c>
      <c r="D87" s="147" t="s">
        <v>555</v>
      </c>
      <c r="E87" s="148" t="s">
        <v>248</v>
      </c>
      <c r="F87" s="75">
        <f>'MEMÓRIAL DE CÁLCULO.'!H91</f>
        <v>18.3673</v>
      </c>
      <c r="G87" s="138">
        <v>480.94</v>
      </c>
      <c r="H87" s="138">
        <f>G87*(1+$J$11)</f>
        <v>615.26654200000007</v>
      </c>
      <c r="I87" s="138">
        <f t="shared" si="39"/>
        <v>8833.5692620000009</v>
      </c>
      <c r="J87" s="218">
        <f t="shared" si="40"/>
        <v>11300.785156876602</v>
      </c>
    </row>
    <row r="88" spans="1:12" ht="78.75" x14ac:dyDescent="0.25">
      <c r="A88" s="220" t="s">
        <v>637</v>
      </c>
      <c r="B88" s="185" t="s">
        <v>305</v>
      </c>
      <c r="C88" s="146">
        <v>72136</v>
      </c>
      <c r="D88" s="147" t="s">
        <v>554</v>
      </c>
      <c r="E88" s="148" t="s">
        <v>4</v>
      </c>
      <c r="F88" s="75">
        <f>'MEMÓRIAL DE CÁLCULO.'!H92</f>
        <v>262.39</v>
      </c>
      <c r="G88" s="138">
        <v>64.760000000000005</v>
      </c>
      <c r="H88" s="138">
        <f>G88*(1+$J$11)</f>
        <v>82.847468000000006</v>
      </c>
      <c r="I88" s="138">
        <f t="shared" ref="I88" si="41">G88*F88</f>
        <v>16992.376400000001</v>
      </c>
      <c r="J88" s="218">
        <f t="shared" ref="J88" si="42">H88*F88</f>
        <v>21738.347128519999</v>
      </c>
    </row>
    <row r="89" spans="1:12" ht="78.75" x14ac:dyDescent="0.25">
      <c r="A89" s="220" t="s">
        <v>713</v>
      </c>
      <c r="B89" s="185" t="s">
        <v>305</v>
      </c>
      <c r="C89" s="146">
        <v>92396</v>
      </c>
      <c r="D89" s="147" t="s">
        <v>372</v>
      </c>
      <c r="E89" s="148" t="s">
        <v>4</v>
      </c>
      <c r="F89" s="75">
        <f>'MEMÓRIAL DE CÁLCULO.'!H93</f>
        <v>2578</v>
      </c>
      <c r="G89" s="138">
        <v>60.33</v>
      </c>
      <c r="H89" s="138">
        <f>G89*(1+$J$11)</f>
        <v>77.180169000000006</v>
      </c>
      <c r="I89" s="138">
        <f t="shared" ref="I89" si="43">G89*F89</f>
        <v>155530.74</v>
      </c>
      <c r="J89" s="218">
        <f t="shared" ref="J89" si="44">H89*F89</f>
        <v>198970.47568200002</v>
      </c>
    </row>
    <row r="90" spans="1:12" x14ac:dyDescent="0.25">
      <c r="A90" s="240" t="s">
        <v>649</v>
      </c>
      <c r="B90" s="241"/>
      <c r="C90" s="241"/>
      <c r="D90" s="243"/>
      <c r="E90" s="241"/>
      <c r="F90" s="241"/>
      <c r="G90" s="241"/>
      <c r="H90" s="242"/>
      <c r="I90" s="35">
        <f>SUM(I87:I89)</f>
        <v>181356.685662</v>
      </c>
      <c r="J90" s="219">
        <f>SUM(J87:J89)</f>
        <v>232009.60796739662</v>
      </c>
    </row>
    <row r="91" spans="1:12" x14ac:dyDescent="0.25">
      <c r="A91" s="214" t="s">
        <v>638</v>
      </c>
      <c r="B91" s="15"/>
      <c r="C91" s="15"/>
      <c r="D91" s="81" t="s">
        <v>283</v>
      </c>
      <c r="E91" s="18"/>
      <c r="F91" s="18"/>
      <c r="G91" s="31"/>
      <c r="H91" s="31"/>
      <c r="I91" s="31"/>
      <c r="J91" s="225"/>
    </row>
    <row r="92" spans="1:12" ht="109.5" customHeight="1" x14ac:dyDescent="0.25">
      <c r="A92" s="220" t="s">
        <v>639</v>
      </c>
      <c r="B92" s="185" t="s">
        <v>305</v>
      </c>
      <c r="C92" s="186">
        <v>87893</v>
      </c>
      <c r="D92" s="73" t="s">
        <v>548</v>
      </c>
      <c r="E92" s="185" t="s">
        <v>4</v>
      </c>
      <c r="F92" s="75">
        <f>'MEMÓRIAL DE CÁLCULO.'!H96</f>
        <v>848.952</v>
      </c>
      <c r="G92" s="23">
        <v>5.0599999999999996</v>
      </c>
      <c r="H92" s="138">
        <f>G92*(1+$J$11)</f>
        <v>6.4732580000000004</v>
      </c>
      <c r="I92" s="138">
        <f t="shared" ref="I92:I110" si="45">G92*F92</f>
        <v>4295.6971199999998</v>
      </c>
      <c r="J92" s="218">
        <f>H92*F92-0.04</f>
        <v>5495.4453256160004</v>
      </c>
    </row>
    <row r="93" spans="1:12" ht="137.25" customHeight="1" x14ac:dyDescent="0.25">
      <c r="A93" s="220" t="s">
        <v>640</v>
      </c>
      <c r="B93" s="185" t="s">
        <v>305</v>
      </c>
      <c r="C93" s="186">
        <v>87529</v>
      </c>
      <c r="D93" s="73" t="s">
        <v>549</v>
      </c>
      <c r="E93" s="185" t="s">
        <v>4</v>
      </c>
      <c r="F93" s="75">
        <f>'MEMÓRIAL DE CÁLCULO.'!H97</f>
        <v>848.952</v>
      </c>
      <c r="G93" s="138">
        <v>29.53</v>
      </c>
      <c r="H93" s="138">
        <f>G93*(1+$J$11)</f>
        <v>37.777729000000008</v>
      </c>
      <c r="I93" s="138">
        <f t="shared" si="45"/>
        <v>25069.55256</v>
      </c>
      <c r="J93" s="218">
        <f t="shared" ref="J93:J110" si="46">H93*F93</f>
        <v>32071.478590008006</v>
      </c>
      <c r="K93" s="84"/>
      <c r="L93" s="84"/>
    </row>
    <row r="94" spans="1:12" ht="157.5" x14ac:dyDescent="0.25">
      <c r="A94" s="220" t="s">
        <v>714</v>
      </c>
      <c r="B94" s="185" t="s">
        <v>305</v>
      </c>
      <c r="C94" s="186">
        <v>89045</v>
      </c>
      <c r="D94" s="176" t="s">
        <v>609</v>
      </c>
      <c r="E94" s="185" t="s">
        <v>4</v>
      </c>
      <c r="F94" s="75">
        <f>'MEMÓRIAL DE CÁLCULO.'!H98</f>
        <v>244.4</v>
      </c>
      <c r="G94" s="138">
        <v>61.98</v>
      </c>
      <c r="H94" s="138">
        <f>G94*(1+$J$11)</f>
        <v>79.291014000000004</v>
      </c>
      <c r="I94" s="138">
        <f t="shared" ref="I94" si="47">G94*F94</f>
        <v>15147.912</v>
      </c>
      <c r="J94" s="218">
        <f t="shared" ref="J94" si="48">H94*F94</f>
        <v>19378.723821600001</v>
      </c>
      <c r="K94" s="84"/>
      <c r="L94" s="84"/>
    </row>
    <row r="95" spans="1:12" x14ac:dyDescent="0.25">
      <c r="A95" s="240" t="s">
        <v>650</v>
      </c>
      <c r="B95" s="241"/>
      <c r="C95" s="241"/>
      <c r="D95" s="243"/>
      <c r="E95" s="241"/>
      <c r="F95" s="241"/>
      <c r="G95" s="241"/>
      <c r="H95" s="242"/>
      <c r="I95" s="35">
        <f>SUM(I92:I94)</f>
        <v>44513.161680000005</v>
      </c>
      <c r="J95" s="219">
        <f>SUM(J92:J94)</f>
        <v>56945.647737224004</v>
      </c>
    </row>
    <row r="96" spans="1:12" x14ac:dyDescent="0.25">
      <c r="A96" s="214" t="s">
        <v>715</v>
      </c>
      <c r="B96" s="15"/>
      <c r="C96" s="15"/>
      <c r="D96" s="16" t="s">
        <v>9</v>
      </c>
      <c r="E96" s="18"/>
      <c r="F96" s="18"/>
      <c r="G96" s="31"/>
      <c r="H96" s="31"/>
      <c r="I96" s="31"/>
      <c r="J96" s="225"/>
    </row>
    <row r="97" spans="1:10" ht="63" x14ac:dyDescent="0.25">
      <c r="A97" s="220" t="s">
        <v>716</v>
      </c>
      <c r="B97" s="185" t="s">
        <v>305</v>
      </c>
      <c r="C97" s="146">
        <v>88489</v>
      </c>
      <c r="D97" s="147" t="s">
        <v>365</v>
      </c>
      <c r="E97" s="148" t="s">
        <v>4</v>
      </c>
      <c r="F97" s="75">
        <f>'MEMÓRIAL DE CÁLCULO.'!H101</f>
        <v>180.07599999999999</v>
      </c>
      <c r="G97" s="138">
        <v>10.61</v>
      </c>
      <c r="H97" s="138">
        <f>G97*(1+$J$11)</f>
        <v>13.573373</v>
      </c>
      <c r="I97" s="138">
        <f t="shared" si="45"/>
        <v>1910.6063599999998</v>
      </c>
      <c r="J97" s="218">
        <f t="shared" si="46"/>
        <v>2444.2387163479998</v>
      </c>
    </row>
    <row r="98" spans="1:10" ht="47.25" x14ac:dyDescent="0.25">
      <c r="A98" s="220" t="s">
        <v>717</v>
      </c>
      <c r="B98" s="185" t="s">
        <v>305</v>
      </c>
      <c r="C98" s="146">
        <v>88488</v>
      </c>
      <c r="D98" s="147" t="s">
        <v>366</v>
      </c>
      <c r="E98" s="148" t="s">
        <v>4</v>
      </c>
      <c r="F98" s="75">
        <f>'MEMÓRIAL DE CÁLCULO.'!H102</f>
        <v>262.39</v>
      </c>
      <c r="G98" s="138">
        <v>12.03</v>
      </c>
      <c r="H98" s="138">
        <f>G98*(1+$J$11)</f>
        <v>15.389979</v>
      </c>
      <c r="I98" s="138">
        <f t="shared" si="45"/>
        <v>3156.5516999999995</v>
      </c>
      <c r="J98" s="218">
        <f t="shared" si="46"/>
        <v>4038.1765898099998</v>
      </c>
    </row>
    <row r="99" spans="1:10" ht="47.25" x14ac:dyDescent="0.25">
      <c r="A99" s="220" t="s">
        <v>718</v>
      </c>
      <c r="B99" s="185" t="s">
        <v>305</v>
      </c>
      <c r="C99" s="186">
        <v>95305</v>
      </c>
      <c r="D99" s="187" t="s">
        <v>323</v>
      </c>
      <c r="E99" s="185" t="s">
        <v>4</v>
      </c>
      <c r="F99" s="75">
        <f>'MEMÓRIAL DE CÁLCULO.'!H103</f>
        <v>424.476</v>
      </c>
      <c r="G99" s="138">
        <v>9.57</v>
      </c>
      <c r="H99" s="138">
        <f>G99*(1+$J$11)</f>
        <v>12.242901000000002</v>
      </c>
      <c r="I99" s="138">
        <f t="shared" si="45"/>
        <v>4062.2353200000002</v>
      </c>
      <c r="J99" s="218">
        <f t="shared" si="46"/>
        <v>5196.8176448760005</v>
      </c>
    </row>
    <row r="100" spans="1:10" x14ac:dyDescent="0.25">
      <c r="A100" s="240" t="s">
        <v>651</v>
      </c>
      <c r="B100" s="241"/>
      <c r="C100" s="241"/>
      <c r="D100" s="243"/>
      <c r="E100" s="241"/>
      <c r="F100" s="241"/>
      <c r="G100" s="241"/>
      <c r="H100" s="242"/>
      <c r="I100" s="35">
        <f>SUM(I97:I99)</f>
        <v>9129.3933799999995</v>
      </c>
      <c r="J100" s="219">
        <f>SUM(J97:J99)</f>
        <v>11679.232951034001</v>
      </c>
    </row>
    <row r="101" spans="1:10" x14ac:dyDescent="0.25">
      <c r="A101" s="214" t="s">
        <v>719</v>
      </c>
      <c r="B101" s="15"/>
      <c r="C101" s="15"/>
      <c r="D101" s="81" t="s">
        <v>289</v>
      </c>
      <c r="E101" s="18"/>
      <c r="F101" s="18"/>
      <c r="G101" s="31"/>
      <c r="H101" s="31"/>
      <c r="I101" s="31"/>
      <c r="J101" s="225"/>
    </row>
    <row r="102" spans="1:10" ht="78.75" x14ac:dyDescent="0.25">
      <c r="A102" s="220" t="s">
        <v>720</v>
      </c>
      <c r="B102" s="185" t="s">
        <v>305</v>
      </c>
      <c r="C102" s="146">
        <v>91341</v>
      </c>
      <c r="D102" s="147" t="s">
        <v>659</v>
      </c>
      <c r="E102" s="148" t="s">
        <v>290</v>
      </c>
      <c r="F102" s="75">
        <f>'MEMÓRIAL DE CÁLCULO.'!H106</f>
        <v>11</v>
      </c>
      <c r="G102" s="138">
        <v>627.91999999999996</v>
      </c>
      <c r="H102" s="138">
        <f>G102*(1+$J$11)</f>
        <v>803.29805599999997</v>
      </c>
      <c r="I102" s="138">
        <f t="shared" si="45"/>
        <v>6907.12</v>
      </c>
      <c r="J102" s="218">
        <f t="shared" si="46"/>
        <v>8836.2786159999996</v>
      </c>
    </row>
    <row r="103" spans="1:10" ht="94.5" x14ac:dyDescent="0.25">
      <c r="A103" s="220" t="s">
        <v>721</v>
      </c>
      <c r="B103" s="185" t="s">
        <v>305</v>
      </c>
      <c r="C103" s="186">
        <v>94570</v>
      </c>
      <c r="D103" s="73" t="s">
        <v>373</v>
      </c>
      <c r="E103" s="185" t="s">
        <v>4</v>
      </c>
      <c r="F103" s="75">
        <f>'MEMÓRIAL DE CÁLCULO.'!H107</f>
        <v>2.88</v>
      </c>
      <c r="G103" s="138">
        <v>354.03</v>
      </c>
      <c r="H103" s="138">
        <f>G103*(1+$J$11)</f>
        <v>452.91057899999998</v>
      </c>
      <c r="I103" s="138">
        <f t="shared" ref="I103" si="49">G103*F103</f>
        <v>1019.6063999999999</v>
      </c>
      <c r="J103" s="218">
        <f t="shared" ref="J103" si="50">H103*F103</f>
        <v>1304.3824675199999</v>
      </c>
    </row>
    <row r="104" spans="1:10" ht="63" x14ac:dyDescent="0.25">
      <c r="A104" s="220" t="s">
        <v>722</v>
      </c>
      <c r="B104" s="21" t="s">
        <v>307</v>
      </c>
      <c r="C104" s="146">
        <v>3625</v>
      </c>
      <c r="D104" s="73" t="s">
        <v>658</v>
      </c>
      <c r="E104" s="148" t="s">
        <v>610</v>
      </c>
      <c r="F104" s="75">
        <f>'MEMÓRIAL DE CÁLCULO.'!H108</f>
        <v>13</v>
      </c>
      <c r="G104" s="138">
        <v>590.46</v>
      </c>
      <c r="H104" s="138">
        <f>G104*(1+$J$11)</f>
        <v>755.37547800000016</v>
      </c>
      <c r="I104" s="138">
        <f t="shared" ref="I104" si="51">G104*F104</f>
        <v>7675.9800000000005</v>
      </c>
      <c r="J104" s="218">
        <f t="shared" ref="J104" si="52">H104*F104</f>
        <v>9819.8812140000027</v>
      </c>
    </row>
    <row r="105" spans="1:10" ht="47.25" x14ac:dyDescent="0.25">
      <c r="A105" s="220" t="s">
        <v>723</v>
      </c>
      <c r="B105" s="21" t="s">
        <v>305</v>
      </c>
      <c r="C105" s="79">
        <v>93184</v>
      </c>
      <c r="D105" s="82" t="s">
        <v>370</v>
      </c>
      <c r="E105" s="80" t="s">
        <v>120</v>
      </c>
      <c r="F105" s="22">
        <f>'MEMÓRIAL DE CÁLCULO.'!H109</f>
        <v>16.5</v>
      </c>
      <c r="G105" s="23">
        <v>33.08</v>
      </c>
      <c r="H105" s="23">
        <f>G105*(1+$J$11)</f>
        <v>42.319244000000005</v>
      </c>
      <c r="I105" s="25">
        <f t="shared" si="45"/>
        <v>545.81999999999994</v>
      </c>
      <c r="J105" s="217">
        <f t="shared" si="46"/>
        <v>698.26752600000009</v>
      </c>
    </row>
    <row r="106" spans="1:10" ht="47.25" x14ac:dyDescent="0.25">
      <c r="A106" s="220" t="s">
        <v>724</v>
      </c>
      <c r="B106" s="21" t="s">
        <v>305</v>
      </c>
      <c r="C106" s="79">
        <v>93183</v>
      </c>
      <c r="D106" s="82" t="s">
        <v>371</v>
      </c>
      <c r="E106" s="80" t="s">
        <v>120</v>
      </c>
      <c r="F106" s="22">
        <f>'MEMÓRIAL DE CÁLCULO.'!H110</f>
        <v>4.8</v>
      </c>
      <c r="G106" s="23">
        <v>59.12</v>
      </c>
      <c r="H106" s="23">
        <f>G106*(1+$J$11)</f>
        <v>75.632216</v>
      </c>
      <c r="I106" s="25">
        <f t="shared" si="45"/>
        <v>283.77599999999995</v>
      </c>
      <c r="J106" s="217">
        <f t="shared" si="46"/>
        <v>363.03463679999999</v>
      </c>
    </row>
    <row r="107" spans="1:10" x14ac:dyDescent="0.25">
      <c r="A107" s="240" t="s">
        <v>652</v>
      </c>
      <c r="B107" s="241"/>
      <c r="C107" s="241"/>
      <c r="D107" s="243"/>
      <c r="E107" s="241"/>
      <c r="F107" s="241"/>
      <c r="G107" s="241"/>
      <c r="H107" s="242"/>
      <c r="I107" s="35">
        <f>SUM(I102:I106)</f>
        <v>16432.3024</v>
      </c>
      <c r="J107" s="219">
        <f>SUM(J102:J106)</f>
        <v>21021.844460320001</v>
      </c>
    </row>
    <row r="108" spans="1:10" x14ac:dyDescent="0.25">
      <c r="A108" s="214" t="s">
        <v>725</v>
      </c>
      <c r="B108" s="15"/>
      <c r="C108" s="15"/>
      <c r="D108" s="83" t="s">
        <v>292</v>
      </c>
      <c r="E108" s="18"/>
      <c r="F108" s="18"/>
      <c r="G108" s="31"/>
      <c r="H108" s="31"/>
      <c r="I108" s="31"/>
      <c r="J108" s="225"/>
    </row>
    <row r="109" spans="1:10" ht="78.75" x14ac:dyDescent="0.25">
      <c r="A109" s="216" t="s">
        <v>726</v>
      </c>
      <c r="B109" s="21" t="s">
        <v>305</v>
      </c>
      <c r="C109" s="79">
        <v>93141</v>
      </c>
      <c r="D109" s="82" t="s">
        <v>367</v>
      </c>
      <c r="E109" s="80" t="s">
        <v>290</v>
      </c>
      <c r="F109" s="22">
        <f>'MEMÓRIAL DE CÁLCULO.'!H113</f>
        <v>10</v>
      </c>
      <c r="G109" s="23">
        <v>160.49</v>
      </c>
      <c r="H109" s="23">
        <f t="shared" ref="H109:H119" si="53">G109*(1+$J$11)</f>
        <v>205.31485700000002</v>
      </c>
      <c r="I109" s="25">
        <f t="shared" si="45"/>
        <v>1604.9</v>
      </c>
      <c r="J109" s="217">
        <f t="shared" si="46"/>
        <v>2053.1485700000003</v>
      </c>
    </row>
    <row r="110" spans="1:10" ht="126" x14ac:dyDescent="0.25">
      <c r="A110" s="216" t="s">
        <v>727</v>
      </c>
      <c r="B110" s="21" t="s">
        <v>305</v>
      </c>
      <c r="C110" s="79">
        <v>93128</v>
      </c>
      <c r="D110" s="82" t="s">
        <v>368</v>
      </c>
      <c r="E110" s="80" t="s">
        <v>290</v>
      </c>
      <c r="F110" s="22">
        <f>'MEMÓRIAL DE CÁLCULO.'!H114</f>
        <v>28</v>
      </c>
      <c r="G110" s="23">
        <v>127.26</v>
      </c>
      <c r="H110" s="23">
        <f t="shared" si="53"/>
        <v>162.80371800000003</v>
      </c>
      <c r="I110" s="25">
        <f t="shared" si="45"/>
        <v>3563.28</v>
      </c>
      <c r="J110" s="217">
        <f t="shared" si="46"/>
        <v>4558.5041040000006</v>
      </c>
    </row>
    <row r="111" spans="1:10" ht="78.75" x14ac:dyDescent="0.25">
      <c r="A111" s="216" t="s">
        <v>728</v>
      </c>
      <c r="B111" s="185" t="s">
        <v>305</v>
      </c>
      <c r="C111" s="146">
        <v>97585</v>
      </c>
      <c r="D111" s="147" t="s">
        <v>611</v>
      </c>
      <c r="E111" s="148" t="s">
        <v>290</v>
      </c>
      <c r="F111" s="75">
        <f>'MEMÓRIAL DE CÁLCULO.'!H115</f>
        <v>28</v>
      </c>
      <c r="G111" s="23">
        <v>159.31</v>
      </c>
      <c r="H111" s="23">
        <f t="shared" si="53"/>
        <v>203.80528300000003</v>
      </c>
      <c r="I111" s="25">
        <f t="shared" ref="I111" si="54">G111*F111</f>
        <v>4460.68</v>
      </c>
      <c r="J111" s="217">
        <f t="shared" ref="J111" si="55">H111*F111</f>
        <v>5706.5479240000004</v>
      </c>
    </row>
    <row r="112" spans="1:10" ht="78.75" x14ac:dyDescent="0.25">
      <c r="A112" s="216" t="s">
        <v>729</v>
      </c>
      <c r="B112" s="185" t="s">
        <v>305</v>
      </c>
      <c r="C112" s="186">
        <v>92982</v>
      </c>
      <c r="D112" s="147" t="s">
        <v>613</v>
      </c>
      <c r="E112" s="185" t="s">
        <v>120</v>
      </c>
      <c r="F112" s="75">
        <f>'MEMÓRIAL DE CÁLCULO.'!H116</f>
        <v>58.32</v>
      </c>
      <c r="G112" s="23">
        <v>19.38</v>
      </c>
      <c r="H112" s="23">
        <f t="shared" si="53"/>
        <v>24.792833999999999</v>
      </c>
      <c r="I112" s="25">
        <f t="shared" ref="I112" si="56">G112*F112</f>
        <v>1130.2415999999998</v>
      </c>
      <c r="J112" s="217">
        <f t="shared" ref="J112" si="57">H112*F112</f>
        <v>1445.9180788799999</v>
      </c>
    </row>
    <row r="113" spans="1:10" ht="78.75" x14ac:dyDescent="0.25">
      <c r="A113" s="216" t="s">
        <v>730</v>
      </c>
      <c r="B113" s="185" t="s">
        <v>305</v>
      </c>
      <c r="C113" s="186">
        <v>92979</v>
      </c>
      <c r="D113" s="147" t="s">
        <v>612</v>
      </c>
      <c r="E113" s="185" t="s">
        <v>120</v>
      </c>
      <c r="F113" s="75">
        <f>'MEMÓRIAL DE CÁLCULO.'!H117</f>
        <v>405.75</v>
      </c>
      <c r="G113" s="23">
        <v>11.64</v>
      </c>
      <c r="H113" s="23">
        <f t="shared" si="53"/>
        <v>14.891052000000002</v>
      </c>
      <c r="I113" s="25">
        <f t="shared" ref="I113" si="58">G113*F113</f>
        <v>4722.93</v>
      </c>
      <c r="J113" s="217">
        <f t="shared" ref="J113" si="59">H113*F113</f>
        <v>6042.0443490000007</v>
      </c>
    </row>
    <row r="114" spans="1:10" ht="78.75" x14ac:dyDescent="0.25">
      <c r="A114" s="216" t="s">
        <v>731</v>
      </c>
      <c r="B114" s="185" t="s">
        <v>305</v>
      </c>
      <c r="C114" s="186">
        <v>91928</v>
      </c>
      <c r="D114" s="147" t="s">
        <v>614</v>
      </c>
      <c r="E114" s="185" t="s">
        <v>120</v>
      </c>
      <c r="F114" s="75">
        <f>'MEMÓRIAL DE CÁLCULO.'!H118</f>
        <v>207.32999999999998</v>
      </c>
      <c r="G114" s="23">
        <v>6.97</v>
      </c>
      <c r="H114" s="23">
        <f t="shared" si="53"/>
        <v>8.9167210000000008</v>
      </c>
      <c r="I114" s="25">
        <f t="shared" ref="I114" si="60">G114*F114</f>
        <v>1445.0900999999999</v>
      </c>
      <c r="J114" s="217">
        <f t="shared" ref="J114" si="61">H114*F114</f>
        <v>1848.70376493</v>
      </c>
    </row>
    <row r="115" spans="1:10" ht="126" x14ac:dyDescent="0.25">
      <c r="A115" s="216" t="s">
        <v>732</v>
      </c>
      <c r="B115" s="185" t="s">
        <v>305</v>
      </c>
      <c r="C115" s="186" t="s">
        <v>616</v>
      </c>
      <c r="D115" s="147" t="s">
        <v>615</v>
      </c>
      <c r="E115" s="185" t="s">
        <v>5</v>
      </c>
      <c r="F115" s="75">
        <f>'MEMÓRIAL DE CÁLCULO.'!H119</f>
        <v>2</v>
      </c>
      <c r="G115" s="23">
        <v>284.38</v>
      </c>
      <c r="H115" s="23">
        <f t="shared" si="53"/>
        <v>363.80733400000003</v>
      </c>
      <c r="I115" s="25">
        <f t="shared" ref="I115" si="62">G115*F115</f>
        <v>568.76</v>
      </c>
      <c r="J115" s="217">
        <f t="shared" ref="J115" si="63">H115*F115</f>
        <v>727.61466800000005</v>
      </c>
    </row>
    <row r="116" spans="1:10" ht="63" x14ac:dyDescent="0.25">
      <c r="A116" s="216" t="s">
        <v>733</v>
      </c>
      <c r="B116" s="185" t="s">
        <v>305</v>
      </c>
      <c r="C116" s="174">
        <v>93653</v>
      </c>
      <c r="D116" s="147" t="s">
        <v>617</v>
      </c>
      <c r="E116" s="185" t="s">
        <v>5</v>
      </c>
      <c r="F116" s="75">
        <f>'MEMÓRIAL DE CÁLCULO.'!H120</f>
        <v>2</v>
      </c>
      <c r="G116" s="23">
        <v>10.19</v>
      </c>
      <c r="H116" s="23">
        <f t="shared" si="53"/>
        <v>13.036067000000001</v>
      </c>
      <c r="I116" s="25">
        <f t="shared" ref="I116" si="64">G116*F116</f>
        <v>20.38</v>
      </c>
      <c r="J116" s="217">
        <f t="shared" ref="J116" si="65">H116*F116</f>
        <v>26.072134000000002</v>
      </c>
    </row>
    <row r="117" spans="1:10" ht="63" x14ac:dyDescent="0.25">
      <c r="A117" s="216" t="s">
        <v>734</v>
      </c>
      <c r="B117" s="185" t="s">
        <v>305</v>
      </c>
      <c r="C117" s="146">
        <v>93654</v>
      </c>
      <c r="D117" s="147" t="s">
        <v>618</v>
      </c>
      <c r="E117" s="185" t="s">
        <v>5</v>
      </c>
      <c r="F117" s="75">
        <f>'MEMÓRIAL DE CÁLCULO.'!H121</f>
        <v>2</v>
      </c>
      <c r="G117" s="23">
        <v>10.62</v>
      </c>
      <c r="H117" s="23">
        <f t="shared" si="53"/>
        <v>13.586166</v>
      </c>
      <c r="I117" s="25">
        <f t="shared" ref="I117" si="66">G117*F117</f>
        <v>21.24</v>
      </c>
      <c r="J117" s="217">
        <f t="shared" ref="J117" si="67">H117*F117</f>
        <v>27.172332000000001</v>
      </c>
    </row>
    <row r="118" spans="1:10" ht="63" x14ac:dyDescent="0.25">
      <c r="A118" s="216" t="s">
        <v>735</v>
      </c>
      <c r="B118" s="185" t="s">
        <v>305</v>
      </c>
      <c r="C118" s="146">
        <v>93655</v>
      </c>
      <c r="D118" s="147" t="s">
        <v>619</v>
      </c>
      <c r="E118" s="185" t="s">
        <v>5</v>
      </c>
      <c r="F118" s="75">
        <f>'MEMÓRIAL DE CÁLCULO.'!H122</f>
        <v>2</v>
      </c>
      <c r="G118" s="23">
        <v>11.39</v>
      </c>
      <c r="H118" s="23">
        <f t="shared" si="53"/>
        <v>14.571227000000002</v>
      </c>
      <c r="I118" s="25">
        <f t="shared" ref="I118" si="68">G118*F118</f>
        <v>22.78</v>
      </c>
      <c r="J118" s="217">
        <f t="shared" ref="J118" si="69">H118*F118</f>
        <v>29.142454000000004</v>
      </c>
    </row>
    <row r="119" spans="1:10" ht="63" x14ac:dyDescent="0.25">
      <c r="A119" s="216" t="s">
        <v>736</v>
      </c>
      <c r="B119" s="185" t="s">
        <v>305</v>
      </c>
      <c r="C119" s="146" t="s">
        <v>621</v>
      </c>
      <c r="D119" s="147" t="s">
        <v>620</v>
      </c>
      <c r="E119" s="185" t="s">
        <v>5</v>
      </c>
      <c r="F119" s="75">
        <f>'MEMÓRIAL DE CÁLCULO.'!H123</f>
        <v>2</v>
      </c>
      <c r="G119" s="23">
        <v>87.38</v>
      </c>
      <c r="H119" s="23">
        <f t="shared" si="53"/>
        <v>111.785234</v>
      </c>
      <c r="I119" s="25">
        <f t="shared" ref="I119" si="70">G119*F119</f>
        <v>174.76</v>
      </c>
      <c r="J119" s="217">
        <f t="shared" ref="J119" si="71">H119*F119</f>
        <v>223.57046800000001</v>
      </c>
    </row>
    <row r="120" spans="1:10" x14ac:dyDescent="0.25">
      <c r="A120" s="240" t="s">
        <v>653</v>
      </c>
      <c r="B120" s="241"/>
      <c r="C120" s="241"/>
      <c r="D120" s="243"/>
      <c r="E120" s="241"/>
      <c r="F120" s="241"/>
      <c r="G120" s="241"/>
      <c r="H120" s="242"/>
      <c r="I120" s="35">
        <f>SUM(I109:I119)</f>
        <v>17735.041699999998</v>
      </c>
      <c r="J120" s="219">
        <f>SUM(J109:J119)</f>
        <v>22688.438846810001</v>
      </c>
    </row>
    <row r="121" spans="1:10" x14ac:dyDescent="0.25">
      <c r="A121" s="214" t="s">
        <v>737</v>
      </c>
      <c r="B121" s="15"/>
      <c r="C121" s="15"/>
      <c r="D121" s="83" t="s">
        <v>569</v>
      </c>
      <c r="E121" s="18"/>
      <c r="F121" s="18"/>
      <c r="G121" s="31"/>
      <c r="H121" s="31"/>
      <c r="I121" s="31"/>
      <c r="J121" s="225"/>
    </row>
    <row r="122" spans="1:10" s="84" customFormat="1" ht="31.5" x14ac:dyDescent="0.25">
      <c r="A122" s="220" t="s">
        <v>738</v>
      </c>
      <c r="B122" s="189" t="s">
        <v>305</v>
      </c>
      <c r="C122" s="190">
        <v>6149</v>
      </c>
      <c r="D122" s="73" t="s">
        <v>570</v>
      </c>
      <c r="E122" s="189" t="s">
        <v>37</v>
      </c>
      <c r="F122" s="75">
        <f>'MEMÓRIAL DE CÁLCULO.'!H125</f>
        <v>22</v>
      </c>
      <c r="G122" s="138">
        <v>11.84</v>
      </c>
      <c r="H122" s="138">
        <f>G122*(1+$J$11)</f>
        <v>15.146912</v>
      </c>
      <c r="I122" s="138">
        <f t="shared" ref="I122:I138" si="72">G122*F122</f>
        <v>260.48</v>
      </c>
      <c r="J122" s="218">
        <f t="shared" ref="J122:J136" si="73">H122*F122</f>
        <v>333.23206400000004</v>
      </c>
    </row>
    <row r="123" spans="1:10" ht="110.25" x14ac:dyDescent="0.25">
      <c r="A123" s="216" t="s">
        <v>739</v>
      </c>
      <c r="B123" s="185" t="s">
        <v>305</v>
      </c>
      <c r="C123" s="186">
        <v>89957</v>
      </c>
      <c r="D123" s="73" t="s">
        <v>622</v>
      </c>
      <c r="E123" s="185" t="s">
        <v>571</v>
      </c>
      <c r="F123" s="22">
        <f>'MEMÓRIAL DE CÁLCULO.'!H126</f>
        <v>56</v>
      </c>
      <c r="G123" s="138">
        <v>118.5</v>
      </c>
      <c r="H123" s="138">
        <f t="shared" ref="H123:H135" si="74">G123*(1+$J$11)</f>
        <v>151.59705000000002</v>
      </c>
      <c r="I123" s="138">
        <f t="shared" si="72"/>
        <v>6636</v>
      </c>
      <c r="J123" s="218">
        <f t="shared" si="73"/>
        <v>8489.4348000000009</v>
      </c>
    </row>
    <row r="124" spans="1:10" ht="31.5" x14ac:dyDescent="0.25">
      <c r="A124" s="216" t="s">
        <v>740</v>
      </c>
      <c r="B124" s="21" t="s">
        <v>307</v>
      </c>
      <c r="C124" s="19">
        <v>1679</v>
      </c>
      <c r="D124" s="20" t="s">
        <v>623</v>
      </c>
      <c r="E124" s="21" t="s">
        <v>571</v>
      </c>
      <c r="F124" s="22">
        <f>'MEMÓRIAL DE CÁLCULO.'!H127</f>
        <v>33</v>
      </c>
      <c r="G124" s="23">
        <v>74.66</v>
      </c>
      <c r="H124" s="23">
        <f t="shared" si="74"/>
        <v>95.512538000000006</v>
      </c>
      <c r="I124" s="25">
        <f t="shared" si="72"/>
        <v>2463.7799999999997</v>
      </c>
      <c r="J124" s="217">
        <f t="shared" si="73"/>
        <v>3151.9137540000002</v>
      </c>
    </row>
    <row r="125" spans="1:10" ht="31.5" x14ac:dyDescent="0.25">
      <c r="A125" s="216" t="s">
        <v>741</v>
      </c>
      <c r="B125" s="21" t="s">
        <v>307</v>
      </c>
      <c r="C125" s="19">
        <v>1678</v>
      </c>
      <c r="D125" s="20" t="s">
        <v>625</v>
      </c>
      <c r="E125" s="21" t="s">
        <v>571</v>
      </c>
      <c r="F125" s="22">
        <f>'MEMÓRIAL DE CÁLCULO.'!H128</f>
        <v>8</v>
      </c>
      <c r="G125" s="23">
        <v>118.16</v>
      </c>
      <c r="H125" s="23">
        <f t="shared" ref="H125" si="75">G125*(1+$J$11)</f>
        <v>151.16208800000001</v>
      </c>
      <c r="I125" s="25">
        <f t="shared" ref="I125" si="76">G125*F125</f>
        <v>945.28</v>
      </c>
      <c r="J125" s="217">
        <f t="shared" ref="J125" si="77">H125*F125</f>
        <v>1209.2967040000001</v>
      </c>
    </row>
    <row r="126" spans="1:10" ht="31.5" x14ac:dyDescent="0.25">
      <c r="A126" s="216" t="s">
        <v>742</v>
      </c>
      <c r="B126" s="21" t="s">
        <v>307</v>
      </c>
      <c r="C126" s="19">
        <v>1683</v>
      </c>
      <c r="D126" s="20" t="s">
        <v>624</v>
      </c>
      <c r="E126" s="21" t="s">
        <v>571</v>
      </c>
      <c r="F126" s="22">
        <f>'MEMÓRIAL DE CÁLCULO.'!H129</f>
        <v>13</v>
      </c>
      <c r="G126" s="23">
        <v>120.87</v>
      </c>
      <c r="H126" s="23">
        <f t="shared" ref="H126" si="78">G126*(1+$J$11)</f>
        <v>154.62899100000001</v>
      </c>
      <c r="I126" s="25">
        <f t="shared" ref="I126" si="79">G126*F126</f>
        <v>1571.31</v>
      </c>
      <c r="J126" s="217">
        <f t="shared" ref="J126" si="80">H126*F126</f>
        <v>2010.1768830000001</v>
      </c>
    </row>
    <row r="127" spans="1:10" ht="126" x14ac:dyDescent="0.25">
      <c r="A127" s="216" t="s">
        <v>743</v>
      </c>
      <c r="B127" s="185" t="s">
        <v>305</v>
      </c>
      <c r="C127" s="19">
        <v>90694</v>
      </c>
      <c r="D127" s="20" t="s">
        <v>631</v>
      </c>
      <c r="E127" s="21" t="s">
        <v>120</v>
      </c>
      <c r="F127" s="22">
        <f>'MEMÓRIAL DE CÁLCULO.'!H130</f>
        <v>225</v>
      </c>
      <c r="G127" s="23">
        <v>46.81</v>
      </c>
      <c r="H127" s="23">
        <f t="shared" ref="H127" si="81">G127*(1+$J$11)</f>
        <v>59.884033000000009</v>
      </c>
      <c r="I127" s="25">
        <f t="shared" ref="I127" si="82">G127*F127</f>
        <v>10532.25</v>
      </c>
      <c r="J127" s="217">
        <f t="shared" ref="J127" si="83">H127*F127</f>
        <v>13473.907425000001</v>
      </c>
    </row>
    <row r="128" spans="1:10" ht="31.5" x14ac:dyDescent="0.25">
      <c r="A128" s="216" t="s">
        <v>744</v>
      </c>
      <c r="B128" s="185" t="s">
        <v>305</v>
      </c>
      <c r="C128" s="186">
        <v>88503</v>
      </c>
      <c r="D128" s="73" t="s">
        <v>626</v>
      </c>
      <c r="E128" s="185" t="s">
        <v>37</v>
      </c>
      <c r="F128" s="22">
        <f>'MEMÓRIAL DE CÁLCULO.'!H131</f>
        <v>0</v>
      </c>
      <c r="G128" s="138">
        <v>652.94000000000005</v>
      </c>
      <c r="H128" s="138">
        <f t="shared" si="74"/>
        <v>835.30614200000014</v>
      </c>
      <c r="I128" s="138">
        <f t="shared" si="72"/>
        <v>0</v>
      </c>
      <c r="J128" s="218">
        <f t="shared" si="73"/>
        <v>0</v>
      </c>
    </row>
    <row r="129" spans="1:10" ht="94.5" x14ac:dyDescent="0.25">
      <c r="A129" s="216" t="s">
        <v>745</v>
      </c>
      <c r="B129" s="21" t="s">
        <v>305</v>
      </c>
      <c r="C129" s="19">
        <v>729</v>
      </c>
      <c r="D129" s="20" t="s">
        <v>572</v>
      </c>
      <c r="E129" s="185" t="s">
        <v>37</v>
      </c>
      <c r="F129" s="22">
        <f>'MEMÓRIAL DE CÁLCULO.'!H132</f>
        <v>1</v>
      </c>
      <c r="G129" s="23">
        <v>781</v>
      </c>
      <c r="H129" s="23">
        <f t="shared" si="74"/>
        <v>999.13330000000008</v>
      </c>
      <c r="I129" s="25">
        <f t="shared" si="72"/>
        <v>781</v>
      </c>
      <c r="J129" s="217">
        <f t="shared" si="73"/>
        <v>999.13330000000008</v>
      </c>
    </row>
    <row r="130" spans="1:10" ht="31.5" x14ac:dyDescent="0.25">
      <c r="A130" s="216" t="s">
        <v>746</v>
      </c>
      <c r="B130" s="21" t="s">
        <v>311</v>
      </c>
      <c r="C130" s="19">
        <v>8</v>
      </c>
      <c r="D130" s="20" t="s">
        <v>582</v>
      </c>
      <c r="E130" s="185" t="s">
        <v>37</v>
      </c>
      <c r="F130" s="22">
        <f>'MEMÓRIAL DE CÁLCULO.'!H133</f>
        <v>1</v>
      </c>
      <c r="G130" s="23">
        <f>COMPOSIÇÕES!D174</f>
        <v>7494.43</v>
      </c>
      <c r="H130" s="23">
        <f t="shared" si="74"/>
        <v>9587.624299000001</v>
      </c>
      <c r="I130" s="25">
        <f t="shared" si="72"/>
        <v>7494.43</v>
      </c>
      <c r="J130" s="217">
        <f t="shared" si="73"/>
        <v>9587.624299000001</v>
      </c>
    </row>
    <row r="131" spans="1:10" ht="47.25" x14ac:dyDescent="0.25">
      <c r="A131" s="216" t="s">
        <v>747</v>
      </c>
      <c r="B131" s="21" t="s">
        <v>305</v>
      </c>
      <c r="C131" s="19">
        <v>93358</v>
      </c>
      <c r="D131" s="20" t="s">
        <v>317</v>
      </c>
      <c r="E131" s="21" t="s">
        <v>248</v>
      </c>
      <c r="F131" s="22">
        <f>'MEMÓRIAL DE CÁLCULO.'!H134</f>
        <v>0</v>
      </c>
      <c r="G131" s="53">
        <v>59.02</v>
      </c>
      <c r="H131" s="23">
        <f>G131*(1+$J$11)</f>
        <v>75.504286000000008</v>
      </c>
      <c r="I131" s="25">
        <f t="shared" si="72"/>
        <v>0</v>
      </c>
      <c r="J131" s="217">
        <f t="shared" si="73"/>
        <v>0</v>
      </c>
    </row>
    <row r="132" spans="1:10" ht="157.5" x14ac:dyDescent="0.25">
      <c r="A132" s="216" t="s">
        <v>748</v>
      </c>
      <c r="B132" s="21" t="s">
        <v>305</v>
      </c>
      <c r="C132" s="19">
        <v>90087</v>
      </c>
      <c r="D132" s="20" t="s">
        <v>630</v>
      </c>
      <c r="E132" s="21" t="s">
        <v>248</v>
      </c>
      <c r="F132" s="22">
        <f>'MEMÓRIAL DE CÁLCULO.'!H135</f>
        <v>70.744200000000006</v>
      </c>
      <c r="G132" s="53">
        <v>8.5399999999999991</v>
      </c>
      <c r="H132" s="23">
        <f t="shared" si="74"/>
        <v>10.925222</v>
      </c>
      <c r="I132" s="25">
        <f t="shared" si="72"/>
        <v>604.15546800000004</v>
      </c>
      <c r="J132" s="217">
        <f t="shared" si="73"/>
        <v>772.89609021240005</v>
      </c>
    </row>
    <row r="133" spans="1:10" ht="141.75" x14ac:dyDescent="0.25">
      <c r="A133" s="216" t="s">
        <v>749</v>
      </c>
      <c r="B133" s="21" t="s">
        <v>305</v>
      </c>
      <c r="C133" s="19">
        <v>91785</v>
      </c>
      <c r="D133" s="20" t="s">
        <v>627</v>
      </c>
      <c r="E133" s="185" t="s">
        <v>120</v>
      </c>
      <c r="F133" s="22">
        <f>'MEMÓRIAL DE CÁLCULO.'!H136</f>
        <v>162.21</v>
      </c>
      <c r="G133" s="23">
        <v>37</v>
      </c>
      <c r="H133" s="23">
        <f t="shared" si="74"/>
        <v>47.334100000000007</v>
      </c>
      <c r="I133" s="25">
        <f t="shared" si="72"/>
        <v>6001.77</v>
      </c>
      <c r="J133" s="217">
        <f t="shared" si="73"/>
        <v>7678.0643610000016</v>
      </c>
    </row>
    <row r="134" spans="1:10" ht="110.25" x14ac:dyDescent="0.25">
      <c r="A134" s="216" t="s">
        <v>750</v>
      </c>
      <c r="B134" s="185" t="s">
        <v>305</v>
      </c>
      <c r="C134" s="186">
        <v>98093</v>
      </c>
      <c r="D134" s="73" t="s">
        <v>628</v>
      </c>
      <c r="E134" s="185" t="s">
        <v>37</v>
      </c>
      <c r="F134" s="22">
        <f>'MEMÓRIAL DE CÁLCULO.'!H137</f>
        <v>1</v>
      </c>
      <c r="G134" s="138">
        <v>11600.37</v>
      </c>
      <c r="H134" s="138">
        <f t="shared" si="74"/>
        <v>14840.353341000002</v>
      </c>
      <c r="I134" s="138">
        <f t="shared" si="72"/>
        <v>11600.37</v>
      </c>
      <c r="J134" s="218">
        <f t="shared" si="73"/>
        <v>14840.353341000002</v>
      </c>
    </row>
    <row r="135" spans="1:10" ht="94.5" x14ac:dyDescent="0.25">
      <c r="A135" s="216" t="s">
        <v>751</v>
      </c>
      <c r="B135" s="185" t="s">
        <v>305</v>
      </c>
      <c r="C135" s="186">
        <v>98085</v>
      </c>
      <c r="D135" s="73" t="s">
        <v>629</v>
      </c>
      <c r="E135" s="185" t="s">
        <v>37</v>
      </c>
      <c r="F135" s="22">
        <f>'MEMÓRIAL DE CÁLCULO.'!H138</f>
        <v>1</v>
      </c>
      <c r="G135" s="138">
        <v>7444.47</v>
      </c>
      <c r="H135" s="138">
        <f t="shared" si="74"/>
        <v>9523.7104710000003</v>
      </c>
      <c r="I135" s="138">
        <f t="shared" si="72"/>
        <v>7444.47</v>
      </c>
      <c r="J135" s="218">
        <f t="shared" si="73"/>
        <v>9523.7104710000003</v>
      </c>
    </row>
    <row r="136" spans="1:10" ht="31.5" x14ac:dyDescent="0.25">
      <c r="A136" s="216" t="s">
        <v>752</v>
      </c>
      <c r="B136" s="21" t="s">
        <v>305</v>
      </c>
      <c r="C136" s="19">
        <v>83665</v>
      </c>
      <c r="D136" s="73" t="s">
        <v>528</v>
      </c>
      <c r="E136" s="21" t="s">
        <v>4</v>
      </c>
      <c r="F136" s="22">
        <f>'MEMÓRIAL DE CÁLCULO.'!H139</f>
        <v>46.56</v>
      </c>
      <c r="G136" s="23">
        <v>7.01</v>
      </c>
      <c r="H136" s="23">
        <f>G136*(1+$J$11)</f>
        <v>8.9678930000000001</v>
      </c>
      <c r="I136" s="25">
        <f t="shared" si="72"/>
        <v>326.38560000000001</v>
      </c>
      <c r="J136" s="217">
        <f t="shared" si="73"/>
        <v>417.54509808</v>
      </c>
    </row>
    <row r="137" spans="1:10" ht="31.5" x14ac:dyDescent="0.25">
      <c r="A137" s="216" t="s">
        <v>753</v>
      </c>
      <c r="B137" s="21" t="s">
        <v>305</v>
      </c>
      <c r="C137" s="19">
        <v>83668</v>
      </c>
      <c r="D137" s="20" t="s">
        <v>349</v>
      </c>
      <c r="E137" s="21" t="s">
        <v>248</v>
      </c>
      <c r="F137" s="22">
        <f>'MEMÓRIAL DE CÁLCULO.'!H140</f>
        <v>45</v>
      </c>
      <c r="G137" s="23">
        <v>100.66</v>
      </c>
      <c r="H137" s="23">
        <f>G137*(1+$J$11)</f>
        <v>128.774338</v>
      </c>
      <c r="I137" s="25">
        <f t="shared" si="72"/>
        <v>4529.7</v>
      </c>
      <c r="J137" s="217">
        <f>H137*F137</f>
        <v>5794.8452100000004</v>
      </c>
    </row>
    <row r="138" spans="1:10" ht="31.5" x14ac:dyDescent="0.25">
      <c r="A138" s="216" t="s">
        <v>754</v>
      </c>
      <c r="B138" s="185" t="s">
        <v>311</v>
      </c>
      <c r="C138" s="186">
        <v>2</v>
      </c>
      <c r="D138" s="73" t="s">
        <v>530</v>
      </c>
      <c r="E138" s="185" t="s">
        <v>120</v>
      </c>
      <c r="F138" s="22">
        <f>'MEMÓRIAL DE CÁLCULO.'!H141</f>
        <v>45</v>
      </c>
      <c r="G138" s="138">
        <f>COMPOSIÇÕES!F76</f>
        <v>12.740100000000002</v>
      </c>
      <c r="H138" s="138">
        <f>G138*(1+$J$11)</f>
        <v>16.298409930000002</v>
      </c>
      <c r="I138" s="138">
        <f t="shared" si="72"/>
        <v>573.30450000000008</v>
      </c>
      <c r="J138" s="218">
        <f t="shared" ref="J138" si="84">H138*F138</f>
        <v>733.42844685000011</v>
      </c>
    </row>
    <row r="139" spans="1:10" x14ac:dyDescent="0.25">
      <c r="A139" s="240" t="s">
        <v>654</v>
      </c>
      <c r="B139" s="241"/>
      <c r="C139" s="241"/>
      <c r="D139" s="243"/>
      <c r="E139" s="241"/>
      <c r="F139" s="241"/>
      <c r="G139" s="241"/>
      <c r="H139" s="242"/>
      <c r="I139" s="35">
        <f>SUM(I122:I138)</f>
        <v>61764.685568000001</v>
      </c>
      <c r="J139" s="219">
        <f>SUM(J122:J138)</f>
        <v>79015.562247142399</v>
      </c>
    </row>
    <row r="140" spans="1:10" x14ac:dyDescent="0.25">
      <c r="A140" s="214" t="s">
        <v>755</v>
      </c>
      <c r="B140" s="15"/>
      <c r="C140" s="15"/>
      <c r="D140" s="83" t="s">
        <v>573</v>
      </c>
      <c r="E140" s="18"/>
      <c r="F140" s="18"/>
      <c r="G140" s="31"/>
      <c r="H140" s="31"/>
      <c r="I140" s="31"/>
      <c r="J140" s="225"/>
    </row>
    <row r="141" spans="1:10" ht="63" x14ac:dyDescent="0.25">
      <c r="A141" s="216" t="s">
        <v>756</v>
      </c>
      <c r="B141" s="185" t="s">
        <v>305</v>
      </c>
      <c r="C141" s="19">
        <v>100849</v>
      </c>
      <c r="D141" s="20" t="s">
        <v>791</v>
      </c>
      <c r="E141" s="185" t="s">
        <v>37</v>
      </c>
      <c r="F141" s="22">
        <f>'MEMÓRIAL DE CÁLCULO.'!H144</f>
        <v>13</v>
      </c>
      <c r="G141" s="23">
        <v>37.47</v>
      </c>
      <c r="H141" s="23">
        <f>G141*(1+$J$11)</f>
        <v>47.935371000000004</v>
      </c>
      <c r="I141" s="25">
        <f t="shared" ref="I141:I146" si="85">G141*F141</f>
        <v>487.11</v>
      </c>
      <c r="J141" s="217">
        <f t="shared" ref="J141:J146" si="86">H141*F141</f>
        <v>623.15982300000007</v>
      </c>
    </row>
    <row r="142" spans="1:10" ht="110.25" x14ac:dyDescent="0.25">
      <c r="A142" s="216" t="s">
        <v>757</v>
      </c>
      <c r="B142" s="185" t="s">
        <v>305</v>
      </c>
      <c r="C142" s="186">
        <v>86932</v>
      </c>
      <c r="D142" s="73" t="s">
        <v>632</v>
      </c>
      <c r="E142" s="185" t="s">
        <v>37</v>
      </c>
      <c r="F142" s="22">
        <f>'MEMÓRIAL DE CÁLCULO.'!H145</f>
        <v>13</v>
      </c>
      <c r="G142" s="23">
        <v>485.49</v>
      </c>
      <c r="H142" s="23">
        <f t="shared" ref="H142:H146" si="87">G142*(1+$J$11)</f>
        <v>621.08735700000011</v>
      </c>
      <c r="I142" s="25">
        <f t="shared" si="85"/>
        <v>6311.37</v>
      </c>
      <c r="J142" s="217">
        <f t="shared" si="86"/>
        <v>8074.1356410000017</v>
      </c>
    </row>
    <row r="143" spans="1:10" ht="63" x14ac:dyDescent="0.25">
      <c r="A143" s="216" t="s">
        <v>758</v>
      </c>
      <c r="B143" s="21" t="s">
        <v>305</v>
      </c>
      <c r="C143" s="19">
        <v>86901</v>
      </c>
      <c r="D143" s="20" t="s">
        <v>792</v>
      </c>
      <c r="E143" s="185" t="s">
        <v>37</v>
      </c>
      <c r="F143" s="22">
        <f>'MEMÓRIAL DE CÁLCULO.'!H146</f>
        <v>12</v>
      </c>
      <c r="G143" s="23">
        <v>130.32</v>
      </c>
      <c r="H143" s="23">
        <f t="shared" si="87"/>
        <v>166.71837600000001</v>
      </c>
      <c r="I143" s="25">
        <f t="shared" si="85"/>
        <v>1563.84</v>
      </c>
      <c r="J143" s="217">
        <f t="shared" si="86"/>
        <v>2000.620512</v>
      </c>
    </row>
    <row r="144" spans="1:10" ht="63" x14ac:dyDescent="0.25">
      <c r="A144" s="216" t="s">
        <v>759</v>
      </c>
      <c r="B144" s="21" t="s">
        <v>305</v>
      </c>
      <c r="C144" s="19">
        <v>86915</v>
      </c>
      <c r="D144" s="20" t="s">
        <v>793</v>
      </c>
      <c r="E144" s="185" t="s">
        <v>37</v>
      </c>
      <c r="F144" s="22">
        <f>'MEMÓRIAL DE CÁLCULO.'!H147</f>
        <v>12</v>
      </c>
      <c r="G144" s="23">
        <v>119.81</v>
      </c>
      <c r="H144" s="23">
        <f t="shared" si="87"/>
        <v>153.27293300000002</v>
      </c>
      <c r="I144" s="25">
        <f t="shared" si="85"/>
        <v>1437.72</v>
      </c>
      <c r="J144" s="217">
        <f t="shared" si="86"/>
        <v>1839.2751960000003</v>
      </c>
    </row>
    <row r="145" spans="1:10" ht="47.25" x14ac:dyDescent="0.25">
      <c r="A145" s="216" t="s">
        <v>760</v>
      </c>
      <c r="B145" s="21" t="s">
        <v>305</v>
      </c>
      <c r="C145" s="19">
        <v>11681</v>
      </c>
      <c r="D145" s="20" t="s">
        <v>578</v>
      </c>
      <c r="E145" s="185" t="s">
        <v>37</v>
      </c>
      <c r="F145" s="22">
        <f>'MEMÓRIAL DE CÁLCULO.'!H148</f>
        <v>12</v>
      </c>
      <c r="G145" s="23">
        <v>4.41</v>
      </c>
      <c r="H145" s="23">
        <f t="shared" si="87"/>
        <v>5.6417130000000002</v>
      </c>
      <c r="I145" s="25">
        <f t="shared" si="85"/>
        <v>52.92</v>
      </c>
      <c r="J145" s="217">
        <f t="shared" si="86"/>
        <v>67.700556000000006</v>
      </c>
    </row>
    <row r="146" spans="1:10" ht="63" x14ac:dyDescent="0.25">
      <c r="A146" s="216" t="s">
        <v>761</v>
      </c>
      <c r="B146" s="21" t="s">
        <v>305</v>
      </c>
      <c r="C146" s="19">
        <v>100858</v>
      </c>
      <c r="D146" s="20" t="s">
        <v>794</v>
      </c>
      <c r="E146" s="185" t="s">
        <v>37</v>
      </c>
      <c r="F146" s="22">
        <f>'MEMÓRIAL DE CÁLCULO.'!H149</f>
        <v>10</v>
      </c>
      <c r="G146" s="23">
        <v>602.54</v>
      </c>
      <c r="H146" s="23">
        <f t="shared" si="87"/>
        <v>770.82942200000002</v>
      </c>
      <c r="I146" s="25">
        <f t="shared" si="85"/>
        <v>6025.4</v>
      </c>
      <c r="J146" s="217">
        <f t="shared" si="86"/>
        <v>7708.2942199999998</v>
      </c>
    </row>
    <row r="147" spans="1:10" x14ac:dyDescent="0.25">
      <c r="A147" s="240" t="s">
        <v>655</v>
      </c>
      <c r="B147" s="241"/>
      <c r="C147" s="241"/>
      <c r="D147" s="243"/>
      <c r="E147" s="241"/>
      <c r="F147" s="241"/>
      <c r="G147" s="241"/>
      <c r="H147" s="242"/>
      <c r="I147" s="35">
        <f>SUM(I141:I146)</f>
        <v>15878.359999999999</v>
      </c>
      <c r="J147" s="219">
        <f>SUM(J141:J146)</f>
        <v>20313.185948000002</v>
      </c>
    </row>
    <row r="148" spans="1:10" x14ac:dyDescent="0.25">
      <c r="A148" s="214" t="s">
        <v>762</v>
      </c>
      <c r="B148" s="15"/>
      <c r="C148" s="15"/>
      <c r="D148" s="83" t="s">
        <v>633</v>
      </c>
      <c r="E148" s="18"/>
      <c r="F148" s="18"/>
      <c r="G148" s="31"/>
      <c r="H148" s="31"/>
      <c r="I148" s="31"/>
      <c r="J148" s="225"/>
    </row>
    <row r="149" spans="1:10" ht="31.5" x14ac:dyDescent="0.25">
      <c r="A149" s="216" t="s">
        <v>763</v>
      </c>
      <c r="B149" s="21" t="s">
        <v>305</v>
      </c>
      <c r="C149" s="19">
        <v>38364</v>
      </c>
      <c r="D149" s="20" t="s">
        <v>581</v>
      </c>
      <c r="E149" s="21" t="s">
        <v>120</v>
      </c>
      <c r="F149" s="22">
        <v>4.9000000000000004</v>
      </c>
      <c r="G149" s="23">
        <v>215.53</v>
      </c>
      <c r="H149" s="23">
        <f>G149*(1+$J$11)</f>
        <v>275.727529</v>
      </c>
      <c r="I149" s="25">
        <f>G149*F149</f>
        <v>1056.097</v>
      </c>
      <c r="J149" s="217">
        <f>H149*F149</f>
        <v>1351.0648921000002</v>
      </c>
    </row>
    <row r="150" spans="1:10" ht="94.5" x14ac:dyDescent="0.25">
      <c r="A150" s="216" t="s">
        <v>764</v>
      </c>
      <c r="B150" s="21" t="s">
        <v>305</v>
      </c>
      <c r="C150" s="19">
        <v>102253</v>
      </c>
      <c r="D150" s="20" t="s">
        <v>795</v>
      </c>
      <c r="E150" s="21" t="s">
        <v>4</v>
      </c>
      <c r="F150" s="22">
        <f>'MEMÓRIAL DE CÁLCULO.'!H153</f>
        <v>25.740000000000002</v>
      </c>
      <c r="G150" s="23">
        <v>732.89</v>
      </c>
      <c r="H150" s="23">
        <f>G150*(1+$J$11)</f>
        <v>937.58617700000002</v>
      </c>
      <c r="I150" s="25">
        <f>G150*F150</f>
        <v>18864.588600000003</v>
      </c>
      <c r="J150" s="217">
        <f>H150*F150</f>
        <v>24133.468195980004</v>
      </c>
    </row>
    <row r="151" spans="1:10" x14ac:dyDescent="0.25">
      <c r="A151" s="240" t="s">
        <v>656</v>
      </c>
      <c r="B151" s="241"/>
      <c r="C151" s="241"/>
      <c r="D151" s="243"/>
      <c r="E151" s="241"/>
      <c r="F151" s="241"/>
      <c r="G151" s="241"/>
      <c r="H151" s="242"/>
      <c r="I151" s="35">
        <f>SUM(I149:I150)</f>
        <v>19920.685600000004</v>
      </c>
      <c r="J151" s="219">
        <f>SUM(J149:J150)</f>
        <v>25484.533088080003</v>
      </c>
    </row>
    <row r="152" spans="1:10" x14ac:dyDescent="0.25">
      <c r="A152" s="214" t="s">
        <v>641</v>
      </c>
      <c r="B152" s="14"/>
      <c r="C152" s="15"/>
      <c r="D152" s="16" t="s">
        <v>3</v>
      </c>
      <c r="E152" s="17"/>
      <c r="F152" s="18"/>
      <c r="G152" s="24"/>
      <c r="H152" s="32"/>
      <c r="I152" s="24"/>
      <c r="J152" s="222"/>
    </row>
    <row r="153" spans="1:10" ht="157.5" x14ac:dyDescent="0.25">
      <c r="A153" s="220" t="s">
        <v>115</v>
      </c>
      <c r="B153" s="21" t="s">
        <v>305</v>
      </c>
      <c r="C153" s="186">
        <v>102362</v>
      </c>
      <c r="D153" s="73" t="s">
        <v>796</v>
      </c>
      <c r="E153" s="185" t="s">
        <v>4</v>
      </c>
      <c r="F153" s="75">
        <f>'MEMÓRIAL DE CÁLCULO.'!I157</f>
        <v>1410.3799999999999</v>
      </c>
      <c r="G153" s="138">
        <v>185.6</v>
      </c>
      <c r="H153" s="138">
        <f>G153*(1+$J$11)</f>
        <v>237.43808000000001</v>
      </c>
      <c r="I153" s="138">
        <f>G153*F153</f>
        <v>261766.52799999996</v>
      </c>
      <c r="J153" s="218">
        <f t="shared" ref="J153" si="88">H153*F153</f>
        <v>334877.91927040002</v>
      </c>
    </row>
    <row r="154" spans="1:10" x14ac:dyDescent="0.25">
      <c r="A154" s="220" t="s">
        <v>116</v>
      </c>
      <c r="B154" s="21" t="s">
        <v>307</v>
      </c>
      <c r="C154" s="19">
        <v>2431</v>
      </c>
      <c r="D154" s="20" t="s">
        <v>350</v>
      </c>
      <c r="E154" s="21" t="s">
        <v>43</v>
      </c>
      <c r="F154" s="22">
        <f>'MEMÓRIAL DE CÁLCULO.'!H158</f>
        <v>1</v>
      </c>
      <c r="G154" s="23">
        <v>2535.19</v>
      </c>
      <c r="H154" s="23">
        <f>G154*(1+$J$11)</f>
        <v>3243.2685670000005</v>
      </c>
      <c r="I154" s="25">
        <f t="shared" ref="I154" si="89">G154*F154</f>
        <v>2535.19</v>
      </c>
      <c r="J154" s="217">
        <f t="shared" ref="J154" si="90">H154*F154</f>
        <v>3243.2685670000005</v>
      </c>
    </row>
    <row r="155" spans="1:10" ht="47.25" x14ac:dyDescent="0.25">
      <c r="A155" s="220" t="s">
        <v>117</v>
      </c>
      <c r="B155" s="21" t="s">
        <v>307</v>
      </c>
      <c r="C155" s="19">
        <v>2426</v>
      </c>
      <c r="D155" s="20" t="s">
        <v>351</v>
      </c>
      <c r="E155" s="21" t="s">
        <v>43</v>
      </c>
      <c r="F155" s="22">
        <f>'MEMÓRIAL DE CÁLCULO.'!H159</f>
        <v>1</v>
      </c>
      <c r="G155" s="23">
        <v>234.33</v>
      </c>
      <c r="H155" s="23">
        <f>G155*(1+$J$11)</f>
        <v>299.77836900000005</v>
      </c>
      <c r="I155" s="25">
        <f>G155*F155</f>
        <v>234.33</v>
      </c>
      <c r="J155" s="217">
        <f>H155*F155</f>
        <v>299.77836900000005</v>
      </c>
    </row>
    <row r="156" spans="1:10" x14ac:dyDescent="0.25">
      <c r="A156" s="237" t="s">
        <v>599</v>
      </c>
      <c r="B156" s="238"/>
      <c r="C156" s="238"/>
      <c r="D156" s="238"/>
      <c r="E156" s="238"/>
      <c r="F156" s="238"/>
      <c r="G156" s="238"/>
      <c r="H156" s="239"/>
      <c r="I156" s="34">
        <f>SUM(I153:I155)</f>
        <v>264536.04799999995</v>
      </c>
      <c r="J156" s="227">
        <f>SUM(J153:J155)</f>
        <v>338420.96620640001</v>
      </c>
    </row>
    <row r="157" spans="1:10" x14ac:dyDescent="0.25">
      <c r="A157" s="214" t="s">
        <v>642</v>
      </c>
      <c r="B157" s="14"/>
      <c r="C157" s="15"/>
      <c r="D157" s="16" t="s">
        <v>676</v>
      </c>
      <c r="E157" s="17"/>
      <c r="F157" s="18"/>
      <c r="G157" s="24"/>
      <c r="H157" s="32"/>
      <c r="I157" s="24"/>
      <c r="J157" s="222"/>
    </row>
    <row r="158" spans="1:10" ht="110.25" x14ac:dyDescent="0.25">
      <c r="A158" s="216" t="s">
        <v>118</v>
      </c>
      <c r="B158" s="185" t="s">
        <v>305</v>
      </c>
      <c r="C158" s="186">
        <v>94990</v>
      </c>
      <c r="D158" s="73" t="s">
        <v>594</v>
      </c>
      <c r="E158" s="185" t="s">
        <v>248</v>
      </c>
      <c r="F158" s="75">
        <f>'MEMÓRIAL DE CÁLCULO.'!H164</f>
        <v>14.04</v>
      </c>
      <c r="G158" s="138">
        <v>648.73</v>
      </c>
      <c r="H158" s="138">
        <f t="shared" ref="H158:H159" si="91">G158*(1+$J$11)</f>
        <v>829.92028900000014</v>
      </c>
      <c r="I158" s="138">
        <f t="shared" ref="I158:I159" si="92">G158*F158</f>
        <v>9108.1692000000003</v>
      </c>
      <c r="J158" s="218">
        <f t="shared" ref="J158:J159" si="93">H158*F158</f>
        <v>11652.08085756</v>
      </c>
    </row>
    <row r="159" spans="1:10" ht="141.75" x14ac:dyDescent="0.25">
      <c r="A159" s="216" t="s">
        <v>119</v>
      </c>
      <c r="B159" s="21" t="s">
        <v>305</v>
      </c>
      <c r="C159" s="19">
        <v>94275</v>
      </c>
      <c r="D159" s="20" t="s">
        <v>634</v>
      </c>
      <c r="E159" s="21" t="s">
        <v>120</v>
      </c>
      <c r="F159" s="22">
        <f>'MEMÓRIAL DE CÁLCULO.'!H165</f>
        <v>156</v>
      </c>
      <c r="G159" s="23">
        <v>44.05</v>
      </c>
      <c r="H159" s="23">
        <f t="shared" si="91"/>
        <v>56.353165000000004</v>
      </c>
      <c r="I159" s="25">
        <f t="shared" si="92"/>
        <v>6871.7999999999993</v>
      </c>
      <c r="J159" s="217">
        <f t="shared" si="93"/>
        <v>8791.0937400000003</v>
      </c>
    </row>
    <row r="160" spans="1:10" x14ac:dyDescent="0.25">
      <c r="A160" s="237" t="s">
        <v>657</v>
      </c>
      <c r="B160" s="238"/>
      <c r="C160" s="238"/>
      <c r="D160" s="238"/>
      <c r="E160" s="238"/>
      <c r="F160" s="238"/>
      <c r="G160" s="238"/>
      <c r="H160" s="239"/>
      <c r="I160" s="34">
        <f>SUM(I158:I159)</f>
        <v>15979.9692</v>
      </c>
      <c r="J160" s="227">
        <f>SUM(J158:J159)</f>
        <v>20443.174597559999</v>
      </c>
    </row>
    <row r="161" spans="1:11" x14ac:dyDescent="0.25">
      <c r="A161" s="214" t="s">
        <v>643</v>
      </c>
      <c r="B161" s="14"/>
      <c r="C161" s="15"/>
      <c r="D161" s="16" t="s">
        <v>765</v>
      </c>
      <c r="E161" s="17"/>
      <c r="F161" s="18"/>
      <c r="G161" s="24"/>
      <c r="H161" s="32"/>
      <c r="I161" s="24"/>
      <c r="J161" s="222"/>
    </row>
    <row r="162" spans="1:11" x14ac:dyDescent="0.25">
      <c r="A162" s="214" t="s">
        <v>596</v>
      </c>
      <c r="B162" s="14"/>
      <c r="C162" s="15"/>
      <c r="D162" s="16" t="s">
        <v>309</v>
      </c>
      <c r="E162" s="17"/>
      <c r="F162" s="18"/>
      <c r="G162" s="18"/>
      <c r="H162" s="18"/>
      <c r="I162" s="31"/>
      <c r="J162" s="215"/>
    </row>
    <row r="163" spans="1:11" ht="47.25" x14ac:dyDescent="0.25">
      <c r="A163" s="216" t="s">
        <v>774</v>
      </c>
      <c r="B163" s="21" t="s">
        <v>305</v>
      </c>
      <c r="C163" s="19">
        <v>93358</v>
      </c>
      <c r="D163" s="20" t="s">
        <v>317</v>
      </c>
      <c r="E163" s="21" t="s">
        <v>248</v>
      </c>
      <c r="F163" s="22">
        <f>'MEMÓRIAL DE CÁLCULO.'!I170</f>
        <v>44.608000000000011</v>
      </c>
      <c r="G163" s="53">
        <v>59.02</v>
      </c>
      <c r="H163" s="23">
        <f t="shared" ref="H163:H166" si="94">G163*(1+$J$11)</f>
        <v>75.504286000000008</v>
      </c>
      <c r="I163" s="25">
        <f t="shared" ref="I163:I166" si="95">G163*F163</f>
        <v>2632.7641600000006</v>
      </c>
      <c r="J163" s="217">
        <f t="shared" ref="J163:J166" si="96">H163*F163</f>
        <v>3368.0951898880012</v>
      </c>
    </row>
    <row r="164" spans="1:11" ht="63" x14ac:dyDescent="0.25">
      <c r="A164" s="216" t="s">
        <v>775</v>
      </c>
      <c r="B164" s="185" t="s">
        <v>305</v>
      </c>
      <c r="C164" s="186">
        <v>94963</v>
      </c>
      <c r="D164" s="73" t="s">
        <v>344</v>
      </c>
      <c r="E164" s="185" t="s">
        <v>248</v>
      </c>
      <c r="F164" s="75">
        <f>'MEMÓRIAL DE CÁLCULO.'!I171+'MEMÓRIAL DE CÁLCULO.'!I172</f>
        <v>18.832000000000004</v>
      </c>
      <c r="G164" s="23">
        <v>357.98</v>
      </c>
      <c r="H164" s="138">
        <f t="shared" si="94"/>
        <v>457.96381400000007</v>
      </c>
      <c r="I164" s="138">
        <f t="shared" si="95"/>
        <v>6741.4793600000021</v>
      </c>
      <c r="J164" s="218">
        <f t="shared" si="96"/>
        <v>8624.3745452480034</v>
      </c>
    </row>
    <row r="165" spans="1:11" ht="63" x14ac:dyDescent="0.25">
      <c r="A165" s="216" t="s">
        <v>776</v>
      </c>
      <c r="B165" s="185" t="s">
        <v>305</v>
      </c>
      <c r="C165" s="186">
        <v>92873</v>
      </c>
      <c r="D165" s="73" t="s">
        <v>345</v>
      </c>
      <c r="E165" s="185" t="s">
        <v>248</v>
      </c>
      <c r="F165" s="75">
        <f>'MEMÓRIAL DE CÁLCULO.'!I173</f>
        <v>18.832000000000004</v>
      </c>
      <c r="G165" s="23">
        <v>202.38</v>
      </c>
      <c r="H165" s="138">
        <f t="shared" si="94"/>
        <v>258.90473400000002</v>
      </c>
      <c r="I165" s="138">
        <f t="shared" si="95"/>
        <v>3811.2201600000008</v>
      </c>
      <c r="J165" s="218">
        <f t="shared" si="96"/>
        <v>4875.6939506880017</v>
      </c>
    </row>
    <row r="166" spans="1:11" ht="141.75" x14ac:dyDescent="0.25">
      <c r="A166" s="216" t="s">
        <v>777</v>
      </c>
      <c r="B166" s="185" t="s">
        <v>305</v>
      </c>
      <c r="C166" s="186">
        <v>87481</v>
      </c>
      <c r="D166" s="73" t="s">
        <v>546</v>
      </c>
      <c r="E166" s="185" t="s">
        <v>4</v>
      </c>
      <c r="F166" s="22">
        <f>'MEMÓRIAL DE CÁLCULO.'!I174</f>
        <v>55.760000000000005</v>
      </c>
      <c r="G166" s="138">
        <v>79.69</v>
      </c>
      <c r="H166" s="138">
        <f t="shared" si="94"/>
        <v>101.947417</v>
      </c>
      <c r="I166" s="138">
        <f t="shared" si="95"/>
        <v>4443.5144</v>
      </c>
      <c r="J166" s="218">
        <f t="shared" si="96"/>
        <v>5684.5879719200002</v>
      </c>
    </row>
    <row r="167" spans="1:11" x14ac:dyDescent="0.25">
      <c r="A167" s="240" t="s">
        <v>357</v>
      </c>
      <c r="B167" s="241"/>
      <c r="C167" s="241"/>
      <c r="D167" s="241"/>
      <c r="E167" s="241"/>
      <c r="F167" s="241"/>
      <c r="G167" s="241"/>
      <c r="H167" s="242"/>
      <c r="I167" s="35">
        <f>SUM(I163:I166)</f>
        <v>17628.978080000004</v>
      </c>
      <c r="J167" s="219">
        <f>SUM(J163:J166)</f>
        <v>22552.751657744004</v>
      </c>
    </row>
    <row r="168" spans="1:11" x14ac:dyDescent="0.25">
      <c r="A168" s="214" t="s">
        <v>597</v>
      </c>
      <c r="B168" s="14"/>
      <c r="C168" s="15"/>
      <c r="D168" s="16" t="s">
        <v>310</v>
      </c>
      <c r="E168" s="17"/>
      <c r="F168" s="18"/>
      <c r="G168" s="18"/>
      <c r="H168" s="32"/>
      <c r="I168" s="31"/>
      <c r="J168" s="215"/>
    </row>
    <row r="169" spans="1:11" ht="141.75" x14ac:dyDescent="0.25">
      <c r="A169" s="220" t="s">
        <v>778</v>
      </c>
      <c r="B169" s="185" t="s">
        <v>305</v>
      </c>
      <c r="C169" s="186">
        <v>87507</v>
      </c>
      <c r="D169" s="73" t="s">
        <v>547</v>
      </c>
      <c r="E169" s="185" t="s">
        <v>4</v>
      </c>
      <c r="F169" s="75">
        <f>'MEMÓRIAL DE CÁLCULO.'!I176</f>
        <v>837.6</v>
      </c>
      <c r="G169" s="23">
        <v>69.86</v>
      </c>
      <c r="H169" s="138">
        <f>G169*(1+$J$11)</f>
        <v>89.371898000000002</v>
      </c>
      <c r="I169" s="138">
        <f>G169*F169</f>
        <v>58514.736000000004</v>
      </c>
      <c r="J169" s="218">
        <f t="shared" ref="J169:J171" si="97">H169*F169</f>
        <v>74857.901764800001</v>
      </c>
      <c r="K169" s="84"/>
    </row>
    <row r="170" spans="1:11" ht="110.25" x14ac:dyDescent="0.25">
      <c r="A170" s="220" t="s">
        <v>779</v>
      </c>
      <c r="B170" s="185" t="s">
        <v>307</v>
      </c>
      <c r="C170" s="186">
        <v>6456</v>
      </c>
      <c r="D170" s="73" t="s">
        <v>346</v>
      </c>
      <c r="E170" s="185" t="s">
        <v>248</v>
      </c>
      <c r="F170" s="75">
        <f>'MEMÓRIAL DE CÁLCULO.'!I177</f>
        <v>31.391999999999999</v>
      </c>
      <c r="G170" s="23">
        <v>1442.73</v>
      </c>
      <c r="H170" s="138">
        <f>G170*(1+$J$11)</f>
        <v>1845.6844890000002</v>
      </c>
      <c r="I170" s="138">
        <f>G170*F170</f>
        <v>45290.180159999996</v>
      </c>
      <c r="J170" s="218">
        <f t="shared" si="97"/>
        <v>57939.727478688008</v>
      </c>
    </row>
    <row r="171" spans="1:11" ht="94.5" x14ac:dyDescent="0.25">
      <c r="A171" s="220" t="s">
        <v>780</v>
      </c>
      <c r="B171" s="21" t="s">
        <v>305</v>
      </c>
      <c r="C171" s="19" t="s">
        <v>589</v>
      </c>
      <c r="D171" s="20" t="s">
        <v>590</v>
      </c>
      <c r="E171" s="21" t="s">
        <v>4</v>
      </c>
      <c r="F171" s="22">
        <f>'MEMÓRIAL DE CÁLCULO.'!I179</f>
        <v>595.20000000000005</v>
      </c>
      <c r="G171" s="23">
        <v>77.83</v>
      </c>
      <c r="H171" s="23">
        <f>G171*(1+$J$11)</f>
        <v>99.567919000000003</v>
      </c>
      <c r="I171" s="25">
        <f t="shared" ref="I171" si="98">G171*F171</f>
        <v>46324.416000000005</v>
      </c>
      <c r="J171" s="217">
        <f t="shared" si="97"/>
        <v>59262.825388800004</v>
      </c>
    </row>
    <row r="172" spans="1:11" x14ac:dyDescent="0.25">
      <c r="A172" s="240" t="s">
        <v>358</v>
      </c>
      <c r="B172" s="241"/>
      <c r="C172" s="241"/>
      <c r="D172" s="241"/>
      <c r="E172" s="241"/>
      <c r="F172" s="241"/>
      <c r="G172" s="241"/>
      <c r="H172" s="242"/>
      <c r="I172" s="35">
        <f>SUM(I169:I171)</f>
        <v>150129.33215999999</v>
      </c>
      <c r="J172" s="219">
        <f>SUM(J169:J171)</f>
        <v>192060.45463228802</v>
      </c>
    </row>
    <row r="173" spans="1:11" x14ac:dyDescent="0.25">
      <c r="A173" s="214" t="s">
        <v>598</v>
      </c>
      <c r="B173" s="14"/>
      <c r="C173" s="15"/>
      <c r="D173" s="16" t="s">
        <v>283</v>
      </c>
      <c r="E173" s="17"/>
      <c r="F173" s="18"/>
      <c r="G173" s="18"/>
      <c r="H173" s="32"/>
      <c r="I173" s="31"/>
      <c r="J173" s="215"/>
    </row>
    <row r="174" spans="1:11" ht="126" x14ac:dyDescent="0.25">
      <c r="A174" s="216" t="s">
        <v>783</v>
      </c>
      <c r="B174" s="21" t="s">
        <v>305</v>
      </c>
      <c r="C174" s="19">
        <v>87894</v>
      </c>
      <c r="D174" s="20" t="s">
        <v>548</v>
      </c>
      <c r="E174" s="21" t="s">
        <v>4</v>
      </c>
      <c r="F174" s="22">
        <f>'MEMÓRIAL DE CÁLCULO.'!I181</f>
        <v>802.8</v>
      </c>
      <c r="G174" s="23">
        <v>5.0599999999999996</v>
      </c>
      <c r="H174" s="23">
        <f>G174*(1+$J$11)</f>
        <v>6.4732580000000004</v>
      </c>
      <c r="I174" s="25">
        <f>G174*F174</f>
        <v>4062.1679999999997</v>
      </c>
      <c r="J174" s="217">
        <f t="shared" ref="J174:J175" si="99">H174*F174</f>
        <v>5196.7315224000004</v>
      </c>
    </row>
    <row r="175" spans="1:11" ht="157.5" x14ac:dyDescent="0.25">
      <c r="A175" s="216" t="s">
        <v>784</v>
      </c>
      <c r="B175" s="185" t="s">
        <v>305</v>
      </c>
      <c r="C175" s="186">
        <v>87529</v>
      </c>
      <c r="D175" s="73" t="s">
        <v>549</v>
      </c>
      <c r="E175" s="185" t="s">
        <v>4</v>
      </c>
      <c r="F175" s="75">
        <f>'MEMÓRIAL DE CÁLCULO.'!I182</f>
        <v>802.8</v>
      </c>
      <c r="G175" s="138">
        <v>29.53</v>
      </c>
      <c r="H175" s="138">
        <f>G175*(1+$J$11)</f>
        <v>37.777729000000008</v>
      </c>
      <c r="I175" s="138">
        <f>G175*F175</f>
        <v>23706.684000000001</v>
      </c>
      <c r="J175" s="218">
        <f t="shared" si="99"/>
        <v>30327.960841200005</v>
      </c>
    </row>
    <row r="176" spans="1:11" x14ac:dyDescent="0.25">
      <c r="A176" s="240" t="s">
        <v>359</v>
      </c>
      <c r="B176" s="241"/>
      <c r="C176" s="241"/>
      <c r="D176" s="241"/>
      <c r="E176" s="241"/>
      <c r="F176" s="241"/>
      <c r="G176" s="241"/>
      <c r="H176" s="242"/>
      <c r="I176" s="35">
        <f>SUM(I174:I175)</f>
        <v>27768.851999999999</v>
      </c>
      <c r="J176" s="219">
        <f>SUM(J174:J175)</f>
        <v>35524.692363600007</v>
      </c>
    </row>
    <row r="177" spans="1:10" x14ac:dyDescent="0.25">
      <c r="A177" s="214" t="s">
        <v>781</v>
      </c>
      <c r="B177" s="14"/>
      <c r="C177" s="15"/>
      <c r="D177" s="16" t="s">
        <v>9</v>
      </c>
      <c r="E177" s="17"/>
      <c r="F177" s="18"/>
      <c r="G177" s="18"/>
      <c r="H177" s="32"/>
      <c r="I177" s="31"/>
      <c r="J177" s="215"/>
    </row>
    <row r="178" spans="1:10" ht="47.25" x14ac:dyDescent="0.25">
      <c r="A178" s="220" t="s">
        <v>782</v>
      </c>
      <c r="B178" s="185" t="s">
        <v>305</v>
      </c>
      <c r="C178" s="186">
        <v>95305</v>
      </c>
      <c r="D178" s="187" t="s">
        <v>323</v>
      </c>
      <c r="E178" s="185" t="s">
        <v>4</v>
      </c>
      <c r="F178" s="75">
        <f>'MEMÓRIAL DE CÁLCULO.'!I184</f>
        <v>802.8</v>
      </c>
      <c r="G178" s="138">
        <v>9.57</v>
      </c>
      <c r="H178" s="138">
        <f>G178*(1+$J$11)</f>
        <v>12.242901000000002</v>
      </c>
      <c r="I178" s="138">
        <f>G178*F178</f>
        <v>7682.7959999999994</v>
      </c>
      <c r="J178" s="218">
        <f t="shared" ref="J178" si="100">H178*F178</f>
        <v>9828.6009228000003</v>
      </c>
    </row>
    <row r="179" spans="1:10" x14ac:dyDescent="0.25">
      <c r="A179" s="240" t="s">
        <v>359</v>
      </c>
      <c r="B179" s="241"/>
      <c r="C179" s="241"/>
      <c r="D179" s="241"/>
      <c r="E179" s="241"/>
      <c r="F179" s="241"/>
      <c r="G179" s="241"/>
      <c r="H179" s="242"/>
      <c r="I179" s="35">
        <f>SUM(I177:I178)</f>
        <v>7682.7959999999994</v>
      </c>
      <c r="J179" s="219">
        <f>SUM(J178)</f>
        <v>9828.6009228000003</v>
      </c>
    </row>
    <row r="180" spans="1:10" ht="16.5" thickBot="1" x14ac:dyDescent="0.3">
      <c r="A180" s="270" t="s">
        <v>785</v>
      </c>
      <c r="B180" s="271"/>
      <c r="C180" s="271"/>
      <c r="D180" s="271"/>
      <c r="E180" s="271"/>
      <c r="F180" s="271"/>
      <c r="G180" s="271"/>
      <c r="H180" s="271"/>
      <c r="I180" s="271"/>
      <c r="J180" s="228">
        <f>SUM(J18:J179)/2</f>
        <v>1981931.1049022938</v>
      </c>
    </row>
    <row r="181" spans="1:10" ht="15" x14ac:dyDescent="0.25">
      <c r="A181"/>
      <c r="B181"/>
      <c r="C181"/>
      <c r="D181"/>
      <c r="E181"/>
      <c r="F181"/>
      <c r="G181"/>
      <c r="H181"/>
      <c r="I181"/>
      <c r="J181" s="183"/>
    </row>
  </sheetData>
  <mergeCells count="43">
    <mergeCell ref="A179:H179"/>
    <mergeCell ref="A180:I180"/>
    <mergeCell ref="A25:H25"/>
    <mergeCell ref="A40:H40"/>
    <mergeCell ref="A44:H44"/>
    <mergeCell ref="A36:H36"/>
    <mergeCell ref="A151:H151"/>
    <mergeCell ref="A100:H100"/>
    <mergeCell ref="A107:H107"/>
    <mergeCell ref="A120:H120"/>
    <mergeCell ref="I48:J48"/>
    <mergeCell ref="A63:H63"/>
    <mergeCell ref="A53:H53"/>
    <mergeCell ref="A76:H76"/>
    <mergeCell ref="A81:H81"/>
    <mergeCell ref="A47:H47"/>
    <mergeCell ref="A172:H172"/>
    <mergeCell ref="A176:H176"/>
    <mergeCell ref="A1:J5"/>
    <mergeCell ref="A6:J8"/>
    <mergeCell ref="A9:J9"/>
    <mergeCell ref="G11:H11"/>
    <mergeCell ref="D11:F11"/>
    <mergeCell ref="G10:J10"/>
    <mergeCell ref="D10:F10"/>
    <mergeCell ref="A10:C10"/>
    <mergeCell ref="A11:C11"/>
    <mergeCell ref="G14:H14"/>
    <mergeCell ref="D13:F14"/>
    <mergeCell ref="G12:H13"/>
    <mergeCell ref="A156:H156"/>
    <mergeCell ref="A32:H32"/>
    <mergeCell ref="D12:F12"/>
    <mergeCell ref="A12:C12"/>
    <mergeCell ref="A13:C14"/>
    <mergeCell ref="A160:H160"/>
    <mergeCell ref="A167:H167"/>
    <mergeCell ref="A67:H67"/>
    <mergeCell ref="A85:H85"/>
    <mergeCell ref="A90:H90"/>
    <mergeCell ref="A95:H95"/>
    <mergeCell ref="A139:H139"/>
    <mergeCell ref="A147:H147"/>
  </mergeCells>
  <phoneticPr fontId="28" type="noConversion"/>
  <pageMargins left="0.511811024" right="0.511811024" top="0.78740157499999996" bottom="0.78740157499999996" header="0.31496062000000002" footer="0.31496062000000002"/>
  <pageSetup paperSize="9" scale="53" fitToHeight="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7"/>
  <sheetViews>
    <sheetView zoomScale="70" zoomScaleNormal="70" workbookViewId="0">
      <selection activeCell="U19" sqref="U19"/>
    </sheetView>
  </sheetViews>
  <sheetFormatPr defaultRowHeight="15" x14ac:dyDescent="0.25"/>
  <cols>
    <col min="2" max="2" width="21" bestFit="1" customWidth="1"/>
    <col min="4" max="4" width="12.85546875" bestFit="1" customWidth="1"/>
    <col min="6" max="6" width="10.7109375" bestFit="1" customWidth="1"/>
    <col min="8" max="8" width="11.7109375" bestFit="1" customWidth="1"/>
    <col min="10" max="10" width="12" bestFit="1" customWidth="1"/>
    <col min="12" max="12" width="13.140625" bestFit="1" customWidth="1"/>
    <col min="13" max="13" width="8.5703125" bestFit="1" customWidth="1"/>
    <col min="14" max="14" width="13.42578125" bestFit="1" customWidth="1"/>
    <col min="16" max="16" width="13" bestFit="1" customWidth="1"/>
    <col min="17" max="17" width="12" bestFit="1" customWidth="1"/>
    <col min="18" max="18" width="11.140625" bestFit="1" customWidth="1"/>
  </cols>
  <sheetData>
    <row r="1" spans="1:18" x14ac:dyDescent="0.25">
      <c r="A1" s="247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</row>
    <row r="2" spans="1:18" x14ac:dyDescent="0.25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1:18" x14ac:dyDescent="0.25">
      <c r="A3" s="247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</row>
    <row r="4" spans="1:18" ht="14.25" customHeight="1" x14ac:dyDescent="0.25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</row>
    <row r="5" spans="1:18" hidden="1" x14ac:dyDescent="0.25">
      <c r="A5" s="247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</row>
    <row r="6" spans="1:18" x14ac:dyDescent="0.25">
      <c r="A6" s="247" t="s">
        <v>786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</row>
    <row r="7" spans="1:18" x14ac:dyDescent="0.25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</row>
    <row r="8" spans="1:18" x14ac:dyDescent="0.25">
      <c r="A8" s="247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</row>
    <row r="9" spans="1:18" x14ac:dyDescent="0.25">
      <c r="A9" s="288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94" t="s">
        <v>303</v>
      </c>
      <c r="R9" s="279">
        <f>'PLANILHA ORÇAMENTÁRIA'!J11</f>
        <v>0.27929999999999999</v>
      </c>
    </row>
    <row r="10" spans="1:18" ht="15.75" customHeight="1" x14ac:dyDescent="0.25">
      <c r="A10" s="290" t="s">
        <v>510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4"/>
      <c r="R10" s="279"/>
    </row>
    <row r="11" spans="1:18" ht="18" customHeight="1" x14ac:dyDescent="0.25">
      <c r="A11" s="292" t="s">
        <v>661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4"/>
      <c r="R11" s="279"/>
    </row>
    <row r="12" spans="1:18" ht="15.75" customHeight="1" x14ac:dyDescent="0.25">
      <c r="A12" s="286" t="s">
        <v>511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94"/>
      <c r="R12" s="279"/>
    </row>
    <row r="13" spans="1:18" ht="45" customHeight="1" x14ac:dyDescent="0.25">
      <c r="A13" s="119" t="s">
        <v>512</v>
      </c>
      <c r="B13" s="119" t="s">
        <v>517</v>
      </c>
      <c r="C13" s="119" t="s">
        <v>518</v>
      </c>
      <c r="D13" s="119" t="s">
        <v>519</v>
      </c>
      <c r="E13" s="297" t="s">
        <v>520</v>
      </c>
      <c r="F13" s="298"/>
      <c r="G13" s="297" t="s">
        <v>521</v>
      </c>
      <c r="H13" s="298"/>
      <c r="I13" s="297" t="s">
        <v>522</v>
      </c>
      <c r="J13" s="298"/>
      <c r="K13" s="297" t="s">
        <v>523</v>
      </c>
      <c r="L13" s="298"/>
      <c r="M13" s="297" t="s">
        <v>524</v>
      </c>
      <c r="N13" s="298"/>
      <c r="O13" s="297" t="s">
        <v>525</v>
      </c>
      <c r="P13" s="298"/>
      <c r="Q13" s="296" t="s">
        <v>526</v>
      </c>
      <c r="R13" s="296"/>
    </row>
    <row r="14" spans="1:18" x14ac:dyDescent="0.25">
      <c r="A14" s="120">
        <f>'PLANILHA ORÇAMENTÁRIA'!A18</f>
        <v>1</v>
      </c>
      <c r="B14" s="121" t="str">
        <f>'PLANILHA ORÇAMENTÁRIA'!D18</f>
        <v>SERVIÇOS PRELIMINARES</v>
      </c>
      <c r="C14" s="122">
        <f>D14/$D$45</f>
        <v>2.097324799147304E-2</v>
      </c>
      <c r="D14" s="123">
        <f>'PLANILHA ORÇAMENTÁRIA'!J25</f>
        <v>41567.532565130001</v>
      </c>
      <c r="E14" s="122">
        <v>1</v>
      </c>
      <c r="F14" s="124">
        <f>$D$14*E14</f>
        <v>41567.532565130001</v>
      </c>
      <c r="G14" s="122"/>
      <c r="H14" s="124">
        <f>$D$14*G14</f>
        <v>0</v>
      </c>
      <c r="I14" s="122"/>
      <c r="J14" s="124">
        <f>$D$14*I14</f>
        <v>0</v>
      </c>
      <c r="K14" s="122"/>
      <c r="L14" s="124">
        <f>$D$14*K14</f>
        <v>0</v>
      </c>
      <c r="M14" s="122"/>
      <c r="N14" s="124">
        <f>$D$14*M14</f>
        <v>0</v>
      </c>
      <c r="O14" s="122"/>
      <c r="P14" s="124">
        <f>D14*O14</f>
        <v>0</v>
      </c>
      <c r="Q14" s="125">
        <f>F14+H14+J14+L14+N14+P14</f>
        <v>41567.532565130001</v>
      </c>
      <c r="R14" s="126">
        <f>E14+G14+I14+K14+M14+O14</f>
        <v>1</v>
      </c>
    </row>
    <row r="15" spans="1:18" x14ac:dyDescent="0.25">
      <c r="A15" s="120">
        <f>'PLANILHA ORÇAMENTÁRIA'!A26</f>
        <v>2</v>
      </c>
      <c r="B15" s="280" t="str">
        <f>'PLANILHA ORÇAMENTÁRIA'!D26</f>
        <v>MURO</v>
      </c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2"/>
    </row>
    <row r="16" spans="1:18" x14ac:dyDescent="0.25">
      <c r="A16" s="180" t="str">
        <f>'PLANILHA ORÇAMENTÁRIA'!A27</f>
        <v>2.1</v>
      </c>
      <c r="B16" s="178" t="str">
        <f>'PLANILHA ORÇAMENTÁRIA'!D27</f>
        <v>INFRAESTRUTURA</v>
      </c>
      <c r="C16" s="122">
        <f>D16/$D$45</f>
        <v>2.0063766628170766E-2</v>
      </c>
      <c r="D16" s="123">
        <f>'PLANILHA ORÇAMENTÁRIA'!J32</f>
        <v>39765.003161872279</v>
      </c>
      <c r="E16" s="122"/>
      <c r="F16" s="124">
        <f>$D$16*E16</f>
        <v>0</v>
      </c>
      <c r="G16" s="122">
        <v>0.55000000000000004</v>
      </c>
      <c r="H16" s="124">
        <f>$D$16*G16</f>
        <v>21870.751739029754</v>
      </c>
      <c r="I16" s="122">
        <v>0.45</v>
      </c>
      <c r="J16" s="124">
        <f>$D$16*I16</f>
        <v>17894.251422842524</v>
      </c>
      <c r="K16" s="122"/>
      <c r="L16" s="124">
        <f>$D$16*K16</f>
        <v>0</v>
      </c>
      <c r="M16" s="122"/>
      <c r="N16" s="124">
        <f>$D$16*M16</f>
        <v>0</v>
      </c>
      <c r="O16" s="122"/>
      <c r="P16" s="124">
        <f>$D$16*O16</f>
        <v>0</v>
      </c>
      <c r="Q16" s="125">
        <f>F16+H16+J16+L16+N16+P16</f>
        <v>39765.003161872279</v>
      </c>
      <c r="R16" s="126">
        <f>E16+G16+I16+K16+M16+O16</f>
        <v>1</v>
      </c>
    </row>
    <row r="17" spans="1:18" x14ac:dyDescent="0.25">
      <c r="A17" s="120" t="str">
        <f>'PLANILHA ORÇAMENTÁRIA'!A33</f>
        <v>2.2</v>
      </c>
      <c r="B17" s="180" t="str">
        <f>'PLANILHA ORÇAMENTÁRIA'!D33</f>
        <v>SUPERESTRUTURA</v>
      </c>
      <c r="C17" s="122">
        <f>D17/$D$45</f>
        <v>0.11721150571714517</v>
      </c>
      <c r="D17" s="123">
        <f>'PLANILHA ORÇAMENTÁRIA'!J36</f>
        <v>232305.1290332432</v>
      </c>
      <c r="E17" s="122"/>
      <c r="F17" s="124">
        <f>$D$17*E17</f>
        <v>0</v>
      </c>
      <c r="G17" s="122"/>
      <c r="H17" s="124">
        <f>$D$17*G17</f>
        <v>0</v>
      </c>
      <c r="I17" s="122">
        <v>0.55319148936170215</v>
      </c>
      <c r="J17" s="124">
        <f>$D$17*I17</f>
        <v>128509.2203162622</v>
      </c>
      <c r="K17" s="122">
        <v>0.44680851063829785</v>
      </c>
      <c r="L17" s="124">
        <f>$D$17*K17</f>
        <v>103795.90871698099</v>
      </c>
      <c r="M17" s="122"/>
      <c r="N17" s="124">
        <f>$D$17*M17</f>
        <v>0</v>
      </c>
      <c r="O17" s="122"/>
      <c r="P17" s="124">
        <f>$D$17*O17</f>
        <v>0</v>
      </c>
      <c r="Q17" s="125">
        <f t="shared" ref="Q17:Q20" si="0">F17+H17+J17+L17+N17+P17</f>
        <v>232305.1290332432</v>
      </c>
      <c r="R17" s="126">
        <f t="shared" ref="R17:R20" si="1">E17+G17+I17+K17+M17+O17</f>
        <v>1</v>
      </c>
    </row>
    <row r="18" spans="1:18" x14ac:dyDescent="0.25">
      <c r="A18" s="120" t="str">
        <f>'PLANILHA ORÇAMENTÁRIA'!A37</f>
        <v>2.3</v>
      </c>
      <c r="B18" s="127" t="str">
        <f>'PLANILHA ORÇAMENTÁRIA'!D37</f>
        <v>REVESTIMENTOS</v>
      </c>
      <c r="C18" s="122">
        <f>D18/$D$45</f>
        <v>2.0033047941680766E-2</v>
      </c>
      <c r="D18" s="123">
        <f>'PLANILHA ORÇAMENTÁRIA'!J40</f>
        <v>39704.120841616008</v>
      </c>
      <c r="E18" s="122"/>
      <c r="F18" s="124">
        <f>$D$18*E18</f>
        <v>0</v>
      </c>
      <c r="G18" s="122"/>
      <c r="H18" s="124">
        <f>$D$18*G18</f>
        <v>0</v>
      </c>
      <c r="I18" s="122"/>
      <c r="J18" s="124">
        <f>$D$18*I18</f>
        <v>0</v>
      </c>
      <c r="K18" s="122">
        <v>1</v>
      </c>
      <c r="L18" s="124">
        <f>$D$18*K18</f>
        <v>39704.120841616008</v>
      </c>
      <c r="M18" s="122"/>
      <c r="N18" s="124">
        <f>$D$18*M18</f>
        <v>0</v>
      </c>
      <c r="O18" s="122"/>
      <c r="P18" s="124">
        <f>$D$18*O18</f>
        <v>0</v>
      </c>
      <c r="Q18" s="125">
        <f t="shared" si="0"/>
        <v>39704.120841616008</v>
      </c>
      <c r="R18" s="126">
        <f t="shared" si="1"/>
        <v>1</v>
      </c>
    </row>
    <row r="19" spans="1:18" x14ac:dyDescent="0.25">
      <c r="A19" s="120" t="str">
        <f>'PLANILHA ORÇAMENTÁRIA'!A41</f>
        <v>2.4</v>
      </c>
      <c r="B19" s="121" t="str">
        <f>'PLANILHA ORÇAMENTÁRIA'!D41</f>
        <v>PINTURA</v>
      </c>
      <c r="C19" s="122">
        <f t="shared" ref="C19:C43" si="2">D19/$D$45</f>
        <v>4.6414359197685107E-3</v>
      </c>
      <c r="D19" s="123">
        <f>'PLANILHA ORÇAMENTÁRIA'!J44</f>
        <v>9199.0062208000036</v>
      </c>
      <c r="E19" s="122"/>
      <c r="F19" s="124">
        <f>$D$19*E19</f>
        <v>0</v>
      </c>
      <c r="G19" s="122"/>
      <c r="H19" s="124">
        <f>$D$19*G19</f>
        <v>0</v>
      </c>
      <c r="I19" s="122"/>
      <c r="J19" s="124">
        <f>$D$19*I19</f>
        <v>0</v>
      </c>
      <c r="K19" s="122">
        <v>0.90909090909090906</v>
      </c>
      <c r="L19" s="124">
        <f>$D$19*K19</f>
        <v>8362.7329280000031</v>
      </c>
      <c r="M19" s="122">
        <v>9.0909090909090912E-2</v>
      </c>
      <c r="N19" s="124">
        <f>$D$19*M19</f>
        <v>836.27329280000038</v>
      </c>
      <c r="O19" s="122"/>
      <c r="P19" s="124">
        <f>$D$19*O19</f>
        <v>0</v>
      </c>
      <c r="Q19" s="125">
        <f t="shared" si="0"/>
        <v>9199.0062208000036</v>
      </c>
      <c r="R19" s="126">
        <f t="shared" si="1"/>
        <v>1</v>
      </c>
    </row>
    <row r="20" spans="1:18" x14ac:dyDescent="0.25">
      <c r="A20" s="120" t="str">
        <f>'PLANILHA ORÇAMENTÁRIA'!A45</f>
        <v>2.5</v>
      </c>
      <c r="B20" s="128" t="str">
        <f>'PLANILHA ORÇAMENTÁRIA'!D45</f>
        <v>DIVERSOS</v>
      </c>
      <c r="C20" s="122">
        <f t="shared" si="2"/>
        <v>5.3055693245797177E-3</v>
      </c>
      <c r="D20" s="123">
        <f>'PLANILHA ORÇAMENTÁRIA'!J47</f>
        <v>10515.272873600003</v>
      </c>
      <c r="E20" s="122"/>
      <c r="F20" s="124">
        <f>$D$20*E20</f>
        <v>0</v>
      </c>
      <c r="G20" s="122"/>
      <c r="H20" s="124">
        <f>$D$20*G20</f>
        <v>0</v>
      </c>
      <c r="I20" s="122"/>
      <c r="J20" s="124">
        <f>$D$20*I20</f>
        <v>0</v>
      </c>
      <c r="K20" s="122">
        <v>1</v>
      </c>
      <c r="L20" s="124">
        <f>$D$20*K20</f>
        <v>10515.272873600003</v>
      </c>
      <c r="M20" s="122"/>
      <c r="N20" s="124">
        <f>$D$20*M20</f>
        <v>0</v>
      </c>
      <c r="O20" s="122"/>
      <c r="P20" s="124">
        <f>$D$20*O20</f>
        <v>0</v>
      </c>
      <c r="Q20" s="125">
        <f t="shared" si="0"/>
        <v>10515.272873600003</v>
      </c>
      <c r="R20" s="126">
        <f t="shared" si="1"/>
        <v>1</v>
      </c>
    </row>
    <row r="21" spans="1:18" x14ac:dyDescent="0.25">
      <c r="A21" s="120" t="str">
        <f>'PLANILHA ORÇAMENTÁRIA'!A48</f>
        <v>3.0</v>
      </c>
      <c r="B21" s="283" t="str">
        <f>'PLANILHA ORÇAMENTÁRIA'!D48</f>
        <v>CAMPO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5"/>
    </row>
    <row r="22" spans="1:18" x14ac:dyDescent="0.25">
      <c r="A22" s="120" t="str">
        <f>'PLANILHA ORÇAMENTÁRIA'!A49</f>
        <v>3.1</v>
      </c>
      <c r="B22" s="127" t="str">
        <f>'PLANILHA ORÇAMENTÁRIA'!D49</f>
        <v>SISTEMA DE DRENAGEM</v>
      </c>
      <c r="C22" s="122">
        <f t="shared" si="2"/>
        <v>6.1184191462340463E-2</v>
      </c>
      <c r="D22" s="123">
        <f>'PLANILHA ORÇAMENTÁRIA'!J53</f>
        <v>121262.85218751</v>
      </c>
      <c r="E22" s="122"/>
      <c r="F22" s="124">
        <f>$D$22*E22</f>
        <v>0</v>
      </c>
      <c r="G22" s="122">
        <v>0.31481481481481483</v>
      </c>
      <c r="H22" s="124">
        <f>$D$22*G22</f>
        <v>38175.342355327222</v>
      </c>
      <c r="I22" s="122">
        <v>0.55555555555555558</v>
      </c>
      <c r="J22" s="124">
        <f>$D$22*I22</f>
        <v>67368.251215283337</v>
      </c>
      <c r="K22" s="122">
        <v>0.12962962962962962</v>
      </c>
      <c r="L22" s="124">
        <f>$D$22*K22</f>
        <v>15719.258616899444</v>
      </c>
      <c r="M22" s="122"/>
      <c r="N22" s="124">
        <f>$D$22*M22</f>
        <v>0</v>
      </c>
      <c r="O22" s="122"/>
      <c r="P22" s="124">
        <f>$D$22*O22</f>
        <v>0</v>
      </c>
      <c r="Q22" s="125">
        <f>F22+H22+J22+L22+N22+P22</f>
        <v>121262.85218751001</v>
      </c>
      <c r="R22" s="126">
        <f>E22+G22+I22+K22+M22+O22</f>
        <v>1</v>
      </c>
    </row>
    <row r="23" spans="1:18" x14ac:dyDescent="0.25">
      <c r="A23" s="120" t="str">
        <f>'PLANILHA ORÇAMENTÁRIA'!A54</f>
        <v>3.2</v>
      </c>
      <c r="B23" s="128" t="str">
        <f>'PLANILHA ORÇAMENTÁRIA'!D54</f>
        <v>SISTEMA DE IRRIGAÇÃO</v>
      </c>
      <c r="C23" s="122">
        <f t="shared" si="2"/>
        <v>1.2740233680645316E-2</v>
      </c>
      <c r="D23" s="123">
        <f>'PLANILHA ORÇAMENTÁRIA'!J63</f>
        <v>25250.265415394802</v>
      </c>
      <c r="E23" s="122"/>
      <c r="F23" s="124">
        <f>$D$23*E23</f>
        <v>0</v>
      </c>
      <c r="G23" s="122">
        <v>0.27692307692307694</v>
      </c>
      <c r="H23" s="124">
        <f>$D$23*G23</f>
        <v>6992.3811919554837</v>
      </c>
      <c r="I23" s="122">
        <v>0.46153846153846156</v>
      </c>
      <c r="J23" s="124">
        <f>$D$23*I23</f>
        <v>11653.96865325914</v>
      </c>
      <c r="K23" s="122">
        <v>0.26153846153846155</v>
      </c>
      <c r="L23" s="124">
        <f>$D$23*K23</f>
        <v>6603.9155701801792</v>
      </c>
      <c r="M23" s="122"/>
      <c r="N23" s="124">
        <f>$D$23*M23</f>
        <v>0</v>
      </c>
      <c r="O23" s="122"/>
      <c r="P23" s="124">
        <f>$D$23*O23</f>
        <v>0</v>
      </c>
      <c r="Q23" s="125">
        <f t="shared" ref="Q23:Q24" si="3">F23+H23+J23+L23+N23+P23</f>
        <v>25250.265415394802</v>
      </c>
      <c r="R23" s="126">
        <f t="shared" ref="R23:R24" si="4">E23+G23+I23+K23+M23+O23</f>
        <v>1</v>
      </c>
    </row>
    <row r="24" spans="1:18" x14ac:dyDescent="0.25">
      <c r="A24" s="120" t="str">
        <f>'PLANILHA ORÇAMENTÁRIA'!A64</f>
        <v>3.3</v>
      </c>
      <c r="B24" s="128" t="str">
        <f>'PLANILHA ORÇAMENTÁRIA'!D64</f>
        <v>GRAMADO</v>
      </c>
      <c r="C24" s="122">
        <f t="shared" si="2"/>
        <v>0.11790082210514757</v>
      </c>
      <c r="D24" s="123">
        <f>'PLANILHA ORÇAMENTÁRIA'!J67</f>
        <v>233671.30662374405</v>
      </c>
      <c r="E24" s="122"/>
      <c r="F24" s="124">
        <f>$D$24*E24</f>
        <v>0</v>
      </c>
      <c r="G24" s="122"/>
      <c r="H24" s="124">
        <f>$D$24*G24</f>
        <v>0</v>
      </c>
      <c r="I24" s="122"/>
      <c r="J24" s="124">
        <f>$D$24*I24</f>
        <v>0</v>
      </c>
      <c r="K24" s="122">
        <v>0.375</v>
      </c>
      <c r="L24" s="124">
        <f>$D$24*K24</f>
        <v>87626.739983904015</v>
      </c>
      <c r="M24" s="122">
        <v>0.625</v>
      </c>
      <c r="N24" s="124">
        <f>$D$24*M24</f>
        <v>146044.56663984002</v>
      </c>
      <c r="O24" s="122"/>
      <c r="P24" s="124">
        <f>$D$24*O24</f>
        <v>0</v>
      </c>
      <c r="Q24" s="125">
        <f t="shared" si="3"/>
        <v>233671.30662374402</v>
      </c>
      <c r="R24" s="126">
        <f t="shared" si="4"/>
        <v>1</v>
      </c>
    </row>
    <row r="25" spans="1:18" x14ac:dyDescent="0.25">
      <c r="A25" s="120" t="str">
        <f>'PLANILHA ORÇAMENTÁRIA'!A68</f>
        <v>4.0</v>
      </c>
      <c r="B25" s="283" t="str">
        <f>'PLANILHA ORÇAMENTÁRIA'!D68</f>
        <v>BILHETERIA, BANHEIROS, VESTIÁRIOS E ADMINISTRAÇÃO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5"/>
    </row>
    <row r="26" spans="1:18" x14ac:dyDescent="0.25">
      <c r="A26" s="180" t="str">
        <f>'PLANILHA ORÇAMENTÁRIA'!A69</f>
        <v>4.1</v>
      </c>
      <c r="B26" s="179" t="str">
        <f>'PLANILHA ORÇAMENTÁRIA'!D69</f>
        <v>INFRAESTRUTURA</v>
      </c>
      <c r="C26" s="122">
        <f t="shared" si="2"/>
        <v>8.4321838831216429E-3</v>
      </c>
      <c r="D26" s="123">
        <f>'PLANILHA ORÇAMENTÁRIA'!J76</f>
        <v>16712.0075202146</v>
      </c>
      <c r="E26" s="122"/>
      <c r="F26" s="124">
        <f>$D$26*E26</f>
        <v>0</v>
      </c>
      <c r="G26" s="122">
        <v>1</v>
      </c>
      <c r="H26" s="124">
        <f>$D$26*G26</f>
        <v>16712.0075202146</v>
      </c>
      <c r="I26" s="122"/>
      <c r="J26" s="124">
        <f>$D$26*I26</f>
        <v>0</v>
      </c>
      <c r="K26" s="122"/>
      <c r="L26" s="124">
        <f>$D$26*K26</f>
        <v>0</v>
      </c>
      <c r="M26" s="122"/>
      <c r="N26" s="124">
        <f>$D$26*M26</f>
        <v>0</v>
      </c>
      <c r="O26" s="122"/>
      <c r="P26" s="124">
        <f>$D$26*O26</f>
        <v>0</v>
      </c>
      <c r="Q26" s="125">
        <f>F26+H26+J26+L26+N26+P26</f>
        <v>16712.0075202146</v>
      </c>
      <c r="R26" s="126">
        <f>E26+G26+I26+K26+M26+O26</f>
        <v>1</v>
      </c>
    </row>
    <row r="27" spans="1:18" x14ac:dyDescent="0.25">
      <c r="A27" s="120" t="str">
        <f>'PLANILHA ORÇAMENTÁRIA'!A77</f>
        <v>4.2</v>
      </c>
      <c r="B27" s="128" t="str">
        <f>'PLANILHA ORÇAMENTÁRIA'!D77</f>
        <v>SUPERESTRUTURA</v>
      </c>
      <c r="C27" s="122">
        <f t="shared" si="2"/>
        <v>3.7542820007998676E-2</v>
      </c>
      <c r="D27" s="123">
        <f>'PLANILHA ORÇAMENTÁRIA'!J81</f>
        <v>74407.282739600807</v>
      </c>
      <c r="E27" s="122"/>
      <c r="F27" s="124">
        <f>$D$27*E27</f>
        <v>0</v>
      </c>
      <c r="G27" s="122">
        <v>0.12698412698412698</v>
      </c>
      <c r="H27" s="124">
        <f>$D$27*G27</f>
        <v>9448.5438399493087</v>
      </c>
      <c r="I27" s="122">
        <v>0.47619047619047616</v>
      </c>
      <c r="J27" s="124">
        <f>$D$27*I27</f>
        <v>35432.039399809903</v>
      </c>
      <c r="K27" s="122">
        <v>0.3968253968253968</v>
      </c>
      <c r="L27" s="124">
        <f>$D$27*K27</f>
        <v>29526.699499841587</v>
      </c>
      <c r="M27" s="122"/>
      <c r="N27" s="124">
        <f>$D$27*M27</f>
        <v>0</v>
      </c>
      <c r="O27" s="122"/>
      <c r="P27" s="124">
        <f>$D$27*O27</f>
        <v>0</v>
      </c>
      <c r="Q27" s="125">
        <f t="shared" ref="Q27:Q37" si="5">F27+H27+J27+L27+N27+P27</f>
        <v>74407.282739600792</v>
      </c>
      <c r="R27" s="126">
        <f t="shared" ref="R27:R37" si="6">E27+G27+I27+K27+M27+O27</f>
        <v>1</v>
      </c>
    </row>
    <row r="28" spans="1:18" x14ac:dyDescent="0.25">
      <c r="A28" s="120" t="str">
        <f>'PLANILHA ORÇAMENTÁRIA'!A82</f>
        <v>4.3</v>
      </c>
      <c r="B28" s="128" t="str">
        <f>'PLANILHA ORÇAMENTÁRIA'!D82</f>
        <v>COBERTA</v>
      </c>
      <c r="C28" s="122">
        <f t="shared" si="2"/>
        <v>2.5017333836947032E-2</v>
      </c>
      <c r="D28" s="123">
        <f>'PLANILHA ORÇAMENTÁRIA'!J85</f>
        <v>49582.632093170003</v>
      </c>
      <c r="E28" s="122"/>
      <c r="F28" s="124">
        <f>$D$28*E28</f>
        <v>0</v>
      </c>
      <c r="G28" s="122">
        <v>6.8965517241379309E-2</v>
      </c>
      <c r="H28" s="124">
        <f>$D$28*G28</f>
        <v>3419.4918684944828</v>
      </c>
      <c r="I28" s="122">
        <v>0.51724137931034486</v>
      </c>
      <c r="J28" s="124">
        <f>$D$28*I28</f>
        <v>25646.189013708623</v>
      </c>
      <c r="K28" s="122">
        <v>0.41379310344827586</v>
      </c>
      <c r="L28" s="124">
        <f>$D$28*K28</f>
        <v>20516.951210966898</v>
      </c>
      <c r="M28" s="122"/>
      <c r="N28" s="124">
        <f>$D$28*M28</f>
        <v>0</v>
      </c>
      <c r="O28" s="122"/>
      <c r="P28" s="124">
        <f>$D$28*O28</f>
        <v>0</v>
      </c>
      <c r="Q28" s="125">
        <f t="shared" si="5"/>
        <v>49582.632093170003</v>
      </c>
      <c r="R28" s="126">
        <f t="shared" si="6"/>
        <v>1</v>
      </c>
    </row>
    <row r="29" spans="1:18" x14ac:dyDescent="0.25">
      <c r="A29" s="120" t="str">
        <f>'PLANILHA ORÇAMENTÁRIA'!A86</f>
        <v>4.4</v>
      </c>
      <c r="B29" s="128" t="str">
        <f>'PLANILHA ORÇAMENTÁRIA'!D86</f>
        <v>PISOS</v>
      </c>
      <c r="C29" s="122">
        <f t="shared" si="2"/>
        <v>0.11706239807908671</v>
      </c>
      <c r="D29" s="123">
        <f>'PLANILHA ORÇAMENTÁRIA'!J90</f>
        <v>232009.60796739662</v>
      </c>
      <c r="E29" s="122"/>
      <c r="F29" s="124">
        <f>$D$29*E29</f>
        <v>0</v>
      </c>
      <c r="G29" s="122"/>
      <c r="H29" s="124">
        <f>$D$29*G29</f>
        <v>0</v>
      </c>
      <c r="I29" s="122"/>
      <c r="J29" s="124">
        <f>$D$29*I29</f>
        <v>0</v>
      </c>
      <c r="K29" s="122"/>
      <c r="L29" s="124">
        <f>$D$29*K29</f>
        <v>0</v>
      </c>
      <c r="M29" s="122">
        <v>1</v>
      </c>
      <c r="N29" s="124">
        <f>$D$29*M29</f>
        <v>232009.60796739662</v>
      </c>
      <c r="O29" s="122"/>
      <c r="P29" s="124">
        <f>$D$29*O29</f>
        <v>0</v>
      </c>
      <c r="Q29" s="125">
        <f t="shared" si="5"/>
        <v>232009.60796739662</v>
      </c>
      <c r="R29" s="126">
        <f t="shared" si="6"/>
        <v>1</v>
      </c>
    </row>
    <row r="30" spans="1:18" x14ac:dyDescent="0.25">
      <c r="A30" s="120" t="str">
        <f>'PLANILHA ORÇAMENTÁRIA'!A91</f>
        <v>4.5</v>
      </c>
      <c r="B30" s="128" t="str">
        <f>'PLANILHA ORÇAMENTÁRIA'!D91</f>
        <v>REVESTIMENTOS</v>
      </c>
      <c r="C30" s="122">
        <f t="shared" si="2"/>
        <v>2.8732405277039793E-2</v>
      </c>
      <c r="D30" s="123">
        <f>'PLANILHA ORÇAMENTÁRIA'!J95</f>
        <v>56945.647737224004</v>
      </c>
      <c r="E30" s="122"/>
      <c r="F30" s="124">
        <f>$D$30*E30</f>
        <v>0</v>
      </c>
      <c r="G30" s="122"/>
      <c r="H30" s="124">
        <f>$D$30*G30</f>
        <v>0</v>
      </c>
      <c r="I30" s="122"/>
      <c r="J30" s="124">
        <f>$D$30*I30</f>
        <v>0</v>
      </c>
      <c r="K30" s="122">
        <v>0.14000000000000001</v>
      </c>
      <c r="L30" s="124">
        <f>$D$30*K30</f>
        <v>7972.3906832113616</v>
      </c>
      <c r="M30" s="122">
        <v>0.62</v>
      </c>
      <c r="N30" s="124">
        <f>$D$30*M30</f>
        <v>35306.301597078884</v>
      </c>
      <c r="O30" s="122">
        <v>0.24</v>
      </c>
      <c r="P30" s="124">
        <f>$D$30*O30</f>
        <v>13666.95545693376</v>
      </c>
      <c r="Q30" s="125">
        <f t="shared" si="5"/>
        <v>56945.647737224004</v>
      </c>
      <c r="R30" s="126">
        <f t="shared" si="6"/>
        <v>1</v>
      </c>
    </row>
    <row r="31" spans="1:18" x14ac:dyDescent="0.25">
      <c r="A31" s="120" t="str">
        <f>'PLANILHA ORÇAMENTÁRIA'!A96</f>
        <v>4.6</v>
      </c>
      <c r="B31" s="128" t="str">
        <f>'PLANILHA ORÇAMENTÁRIA'!D96</f>
        <v>PINTURA</v>
      </c>
      <c r="C31" s="122">
        <f t="shared" si="2"/>
        <v>5.8928551664311065E-3</v>
      </c>
      <c r="D31" s="123">
        <f>'PLANILHA ORÇAMENTÁRIA'!J100</f>
        <v>11679.232951034001</v>
      </c>
      <c r="E31" s="122"/>
      <c r="F31" s="124">
        <f>$D$31*E31</f>
        <v>0</v>
      </c>
      <c r="G31" s="122"/>
      <c r="H31" s="124">
        <f>$D$31*G31</f>
        <v>0</v>
      </c>
      <c r="I31" s="122"/>
      <c r="J31" s="124">
        <f>$D$31*I31</f>
        <v>0</v>
      </c>
      <c r="K31" s="122"/>
      <c r="L31" s="124">
        <f>$D$31*K31</f>
        <v>0</v>
      </c>
      <c r="M31" s="122">
        <v>1</v>
      </c>
      <c r="N31" s="124">
        <f>$D$31*M31</f>
        <v>11679.232951034001</v>
      </c>
      <c r="O31" s="122"/>
      <c r="P31" s="124">
        <f>$D$31*O31</f>
        <v>0</v>
      </c>
      <c r="Q31" s="125">
        <f t="shared" si="5"/>
        <v>11679.232951034001</v>
      </c>
      <c r="R31" s="126">
        <f t="shared" si="6"/>
        <v>1</v>
      </c>
    </row>
    <row r="32" spans="1:18" x14ac:dyDescent="0.25">
      <c r="A32" s="120" t="str">
        <f>'PLANILHA ORÇAMENTÁRIA'!A101</f>
        <v>4.7</v>
      </c>
      <c r="B32" s="128" t="str">
        <f>'PLANILHA ORÇAMENTÁRIA'!D101</f>
        <v>ESQUADRIAS</v>
      </c>
      <c r="C32" s="122">
        <f t="shared" si="2"/>
        <v>1.0606748341717123E-2</v>
      </c>
      <c r="D32" s="123">
        <f>'PLANILHA ORÇAMENTÁRIA'!J107</f>
        <v>21021.844460320001</v>
      </c>
      <c r="E32" s="122"/>
      <c r="F32" s="124">
        <f>$D$32*E32</f>
        <v>0</v>
      </c>
      <c r="G32" s="122"/>
      <c r="H32" s="124">
        <f>$D$32*G32</f>
        <v>0</v>
      </c>
      <c r="I32" s="122"/>
      <c r="J32" s="124">
        <f>$D$32*I32</f>
        <v>0</v>
      </c>
      <c r="K32" s="122">
        <v>0.5</v>
      </c>
      <c r="L32" s="124">
        <f>$D$32*K32</f>
        <v>10510.92223016</v>
      </c>
      <c r="M32" s="122">
        <v>0.5</v>
      </c>
      <c r="N32" s="124">
        <f>$D$32*M32</f>
        <v>10510.92223016</v>
      </c>
      <c r="O32" s="122"/>
      <c r="P32" s="124">
        <f>$D$32*O32</f>
        <v>0</v>
      </c>
      <c r="Q32" s="125">
        <f t="shared" si="5"/>
        <v>21021.844460320001</v>
      </c>
      <c r="R32" s="126">
        <f t="shared" si="6"/>
        <v>1</v>
      </c>
    </row>
    <row r="33" spans="1:18" x14ac:dyDescent="0.25">
      <c r="A33" s="120" t="str">
        <f>'PLANILHA ORÇAMENTÁRIA'!A108</f>
        <v>4.8</v>
      </c>
      <c r="B33" s="128" t="str">
        <f>'PLANILHA ORÇAMENTÁRIA'!D108</f>
        <v>INSTALAÇÕES ELÉTRICAS</v>
      </c>
      <c r="C33" s="122">
        <f t="shared" si="2"/>
        <v>1.1447642549577168E-2</v>
      </c>
      <c r="D33" s="123">
        <f>'PLANILHA ORÇAMENTÁRIA'!J120</f>
        <v>22688.438846810001</v>
      </c>
      <c r="E33" s="122"/>
      <c r="F33" s="124">
        <f>$D$33*E33</f>
        <v>0</v>
      </c>
      <c r="G33" s="122"/>
      <c r="H33" s="124">
        <f>$D$33*G33</f>
        <v>0</v>
      </c>
      <c r="I33" s="122"/>
      <c r="J33" s="124">
        <f>$D$33*I33</f>
        <v>0</v>
      </c>
      <c r="K33" s="122">
        <v>0.3888888888888889</v>
      </c>
      <c r="L33" s="124">
        <f>$D$33*K33</f>
        <v>8823.2817737594451</v>
      </c>
      <c r="M33" s="122">
        <v>0.61111111111111116</v>
      </c>
      <c r="N33" s="124">
        <f>$D$33*M33</f>
        <v>13865.157073050557</v>
      </c>
      <c r="O33" s="122"/>
      <c r="P33" s="124">
        <f>$D$33*O33</f>
        <v>0</v>
      </c>
      <c r="Q33" s="125">
        <f t="shared" si="5"/>
        <v>22688.438846810001</v>
      </c>
      <c r="R33" s="126">
        <f t="shared" si="6"/>
        <v>1</v>
      </c>
    </row>
    <row r="34" spans="1:18" ht="22.5" x14ac:dyDescent="0.25">
      <c r="A34" s="143" t="str">
        <f>'PLANILHA ORÇAMENTÁRIA'!A121</f>
        <v>4.9</v>
      </c>
      <c r="B34" s="143" t="str">
        <f>'PLANILHA ORÇAMENTÁRIA'!D121</f>
        <v>INSTALAÇÕES HIDROSSANITÁRIAS</v>
      </c>
      <c r="C34" s="122">
        <f t="shared" si="2"/>
        <v>3.9867966172839144E-2</v>
      </c>
      <c r="D34" s="135">
        <f>'PLANILHA ORÇAMENTÁRIA'!J139</f>
        <v>79015.562247142399</v>
      </c>
      <c r="E34" s="122"/>
      <c r="F34" s="124"/>
      <c r="G34" s="122">
        <v>0.22</v>
      </c>
      <c r="H34" s="124">
        <f>$D$34*G34</f>
        <v>17383.423694371329</v>
      </c>
      <c r="I34" s="122">
        <v>0.37</v>
      </c>
      <c r="J34" s="124">
        <f>$D$34*I34</f>
        <v>29235.758031442689</v>
      </c>
      <c r="K34" s="122">
        <v>0.26</v>
      </c>
      <c r="L34" s="124">
        <f>$D$34*K34</f>
        <v>20544.046184257026</v>
      </c>
      <c r="M34" s="122">
        <v>0.15</v>
      </c>
      <c r="N34" s="124">
        <f>$D$34*M34</f>
        <v>11852.334337071359</v>
      </c>
      <c r="O34" s="122"/>
      <c r="P34" s="124"/>
      <c r="Q34" s="125">
        <f t="shared" ref="Q34:Q36" si="7">F34+H34+J34+L34+N34+P34</f>
        <v>79015.562247142399</v>
      </c>
      <c r="R34" s="126">
        <f t="shared" ref="R34:R36" si="8">E34+G34+I34+K34+M34+O34</f>
        <v>1</v>
      </c>
    </row>
    <row r="35" spans="1:18" x14ac:dyDescent="0.25">
      <c r="A35" s="143" t="str">
        <f>'PLANILHA ORÇAMENTÁRIA'!A140</f>
        <v>4.10</v>
      </c>
      <c r="B35" s="143" t="str">
        <f>'PLANILHA ORÇAMENTÁRIA'!D140</f>
        <v>LOUÇAS E METAIS</v>
      </c>
      <c r="C35" s="122">
        <f t="shared" si="2"/>
        <v>1.0249188732017706E-2</v>
      </c>
      <c r="D35" s="123">
        <f>'PLANILHA ORÇAMENTÁRIA'!J147</f>
        <v>20313.185948000002</v>
      </c>
      <c r="E35" s="122"/>
      <c r="F35" s="124"/>
      <c r="G35" s="122"/>
      <c r="H35" s="124"/>
      <c r="I35" s="122"/>
      <c r="J35" s="124"/>
      <c r="K35" s="122"/>
      <c r="L35" s="124"/>
      <c r="M35" s="122">
        <v>0.38</v>
      </c>
      <c r="N35" s="124">
        <f>$D$35*M35</f>
        <v>7719.010660240001</v>
      </c>
      <c r="O35" s="122">
        <v>0.62</v>
      </c>
      <c r="P35" s="124">
        <f>$D$35*O35</f>
        <v>12594.175287760001</v>
      </c>
      <c r="Q35" s="125">
        <f t="shared" si="7"/>
        <v>20313.185948000002</v>
      </c>
      <c r="R35" s="126">
        <f t="shared" si="8"/>
        <v>1</v>
      </c>
    </row>
    <row r="36" spans="1:18" x14ac:dyDescent="0.25">
      <c r="A36" s="143" t="str">
        <f>'PLANILHA ORÇAMENTÁRIA'!A148</f>
        <v>4.11</v>
      </c>
      <c r="B36" s="143" t="str">
        <f>'PLANILHA ORÇAMENTÁRIA'!D148</f>
        <v>GRANITOS</v>
      </c>
      <c r="C36" s="122">
        <f t="shared" si="2"/>
        <v>1.2858435404260097E-2</v>
      </c>
      <c r="D36" s="123">
        <f>'PLANILHA ORÇAMENTÁRIA'!J151</f>
        <v>25484.533088080003</v>
      </c>
      <c r="E36" s="122"/>
      <c r="F36" s="124"/>
      <c r="G36" s="122"/>
      <c r="H36" s="124"/>
      <c r="I36" s="122"/>
      <c r="J36" s="124"/>
      <c r="K36" s="122"/>
      <c r="L36" s="124"/>
      <c r="M36" s="122">
        <v>0.27</v>
      </c>
      <c r="N36" s="124">
        <f>$D$36*M36</f>
        <v>6880.8239337816012</v>
      </c>
      <c r="O36" s="122">
        <v>0.73</v>
      </c>
      <c r="P36" s="124">
        <f>$D$36*O36</f>
        <v>18603.709154298402</v>
      </c>
      <c r="Q36" s="125">
        <f t="shared" si="7"/>
        <v>25484.533088080003</v>
      </c>
      <c r="R36" s="126">
        <f t="shared" si="8"/>
        <v>1</v>
      </c>
    </row>
    <row r="37" spans="1:18" x14ac:dyDescent="0.25">
      <c r="A37" s="120" t="str">
        <f>'PLANILHA ORÇAMENTÁRIA'!A152</f>
        <v>5.0</v>
      </c>
      <c r="B37" s="136" t="str">
        <f>'PLANILHA ORÇAMENTÁRIA'!D152</f>
        <v>DIVERSOS</v>
      </c>
      <c r="C37" s="122">
        <f t="shared" si="2"/>
        <v>0.1707531434212409</v>
      </c>
      <c r="D37" s="123">
        <f>'PLANILHA ORÇAMENTÁRIA'!J156</f>
        <v>338420.96620640001</v>
      </c>
      <c r="E37" s="122"/>
      <c r="F37" s="124">
        <f>$D$37*E37</f>
        <v>0</v>
      </c>
      <c r="G37" s="122">
        <v>0.20930232558139536</v>
      </c>
      <c r="H37" s="124">
        <f>$D$37*G37</f>
        <v>70832.295252502328</v>
      </c>
      <c r="I37" s="122">
        <v>0.34883720930232559</v>
      </c>
      <c r="J37" s="124">
        <f>$D$37*I37</f>
        <v>118053.82542083722</v>
      </c>
      <c r="K37" s="122">
        <v>0.36046511627906974</v>
      </c>
      <c r="L37" s="124">
        <f>$D$37*K37</f>
        <v>121988.95293486511</v>
      </c>
      <c r="M37" s="122">
        <v>8.1395348837209308E-2</v>
      </c>
      <c r="N37" s="124">
        <f>$D$37*M37</f>
        <v>27545.892598195351</v>
      </c>
      <c r="O37" s="122"/>
      <c r="P37" s="124">
        <f>$D$37*O37</f>
        <v>0</v>
      </c>
      <c r="Q37" s="125">
        <f t="shared" si="5"/>
        <v>338420.96620640001</v>
      </c>
      <c r="R37" s="126">
        <f t="shared" si="6"/>
        <v>1</v>
      </c>
    </row>
    <row r="38" spans="1:18" x14ac:dyDescent="0.25">
      <c r="A38" s="143" t="str">
        <f>'PLANILHA ORÇAMENTÁRIA'!A157</f>
        <v>6.0</v>
      </c>
      <c r="B38" s="136" t="str">
        <f>'PLANILHA ORÇAMENTÁRIA'!D157</f>
        <v>CALÇADA</v>
      </c>
      <c r="C38" s="122">
        <f t="shared" si="2"/>
        <v>1.0314775597897388E-2</v>
      </c>
      <c r="D38" s="123">
        <f>'PLANILHA ORÇAMENTÁRIA'!J160</f>
        <v>20443.174597559999</v>
      </c>
      <c r="E38" s="122"/>
      <c r="F38" s="124"/>
      <c r="G38" s="122"/>
      <c r="H38" s="124"/>
      <c r="I38" s="122"/>
      <c r="J38" s="124"/>
      <c r="K38" s="122"/>
      <c r="L38" s="124"/>
      <c r="M38" s="122">
        <v>0.46</v>
      </c>
      <c r="N38" s="124">
        <f>$D$38*M38</f>
        <v>9403.8603148776001</v>
      </c>
      <c r="O38" s="122">
        <v>0.54</v>
      </c>
      <c r="P38" s="124">
        <f>$D$38*O38</f>
        <v>11039.314282682401</v>
      </c>
      <c r="Q38" s="125">
        <f t="shared" ref="Q38" si="9">F38+H38+J38+L38+N38+P38</f>
        <v>20443.174597559999</v>
      </c>
      <c r="R38" s="126">
        <f t="shared" ref="R38" si="10">E38+G38+I38+K38+M38+O38</f>
        <v>1</v>
      </c>
    </row>
    <row r="39" spans="1:18" x14ac:dyDescent="0.25">
      <c r="A39" s="188" t="str">
        <f>'PLANILHA ORÇAMENTÁRIA'!A161</f>
        <v>7.0</v>
      </c>
      <c r="B39" s="283" t="str">
        <f>'PLANILHA ORÇAMENTÁRIA'!D161</f>
        <v>ARQUIBANCADA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5"/>
    </row>
    <row r="40" spans="1:18" x14ac:dyDescent="0.25">
      <c r="A40" s="188" t="str">
        <f>'PLANILHA ORÇAMENTÁRIA'!A162</f>
        <v>7.1</v>
      </c>
      <c r="B40" s="136" t="str">
        <f>'PLANILHA ORÇAMENTÁRIA'!D162</f>
        <v>INFRAESTRUTURA</v>
      </c>
      <c r="C40" s="122">
        <f t="shared" si="2"/>
        <v>1.1379180437685198E-2</v>
      </c>
      <c r="D40" s="123">
        <f>'PLANILHA ORÇAMENTÁRIA'!J167</f>
        <v>22552.751657744004</v>
      </c>
      <c r="E40" s="122"/>
      <c r="F40" s="124"/>
      <c r="G40" s="122"/>
      <c r="H40" s="124"/>
      <c r="I40" s="122"/>
      <c r="J40" s="124"/>
      <c r="K40" s="122"/>
      <c r="L40" s="124"/>
      <c r="M40" s="122">
        <v>0.46</v>
      </c>
      <c r="N40" s="124">
        <f>$D$40*M40</f>
        <v>10374.265762562241</v>
      </c>
      <c r="O40" s="122">
        <v>0.54</v>
      </c>
      <c r="P40" s="124">
        <f>$D$40*O40</f>
        <v>12178.485895181762</v>
      </c>
      <c r="Q40" s="125">
        <f>F40+H40+J40+L40+N40+P40</f>
        <v>22552.751657744004</v>
      </c>
      <c r="R40" s="126">
        <f t="shared" ref="R40" si="11">E40+G40+I40+K40+M40+O40</f>
        <v>1</v>
      </c>
    </row>
    <row r="41" spans="1:18" x14ac:dyDescent="0.25">
      <c r="A41" s="188" t="str">
        <f>'PLANILHA ORÇAMENTÁRIA'!A168</f>
        <v>7.2</v>
      </c>
      <c r="B41" s="188" t="str">
        <f>'PLANILHA ORÇAMENTÁRIA'!D168</f>
        <v>SUPERESTRUTURA</v>
      </c>
      <c r="C41" s="122">
        <f t="shared" si="2"/>
        <v>9.6905716932958783E-2</v>
      </c>
      <c r="D41" s="123">
        <f>'PLANILHA ORÇAMENTÁRIA'!J172</f>
        <v>192060.45463228802</v>
      </c>
      <c r="E41" s="122"/>
      <c r="F41" s="124"/>
      <c r="G41" s="122"/>
      <c r="H41" s="124"/>
      <c r="I41" s="122"/>
      <c r="J41" s="124"/>
      <c r="K41" s="122"/>
      <c r="L41" s="124"/>
      <c r="M41" s="122">
        <v>0.46</v>
      </c>
      <c r="N41" s="124">
        <f>$D$41*M41</f>
        <v>88347.809130852489</v>
      </c>
      <c r="O41" s="122">
        <v>0.54</v>
      </c>
      <c r="P41" s="124">
        <f>$D$41*O41</f>
        <v>103712.64550143553</v>
      </c>
      <c r="Q41" s="125">
        <f t="shared" ref="Q41:Q42" si="12">F41+H41+J41+L41+N41+P41</f>
        <v>192060.45463228802</v>
      </c>
      <c r="R41" s="126">
        <f t="shared" ref="R41:R42" si="13">E41+G41+I41+K41+M41+O41</f>
        <v>1</v>
      </c>
    </row>
    <row r="42" spans="1:18" x14ac:dyDescent="0.25">
      <c r="A42" s="188" t="str">
        <f>'PLANILHA ORÇAMENTÁRIA'!A173</f>
        <v>7.3</v>
      </c>
      <c r="B42" s="136" t="str">
        <f>'PLANILHA ORÇAMENTÁRIA'!D173</f>
        <v>REVESTIMENTOS</v>
      </c>
      <c r="C42" s="122">
        <f t="shared" si="2"/>
        <v>1.7924282168905816E-2</v>
      </c>
      <c r="D42" s="123">
        <f>'PLANILHA ORÇAMENTÁRIA'!J176</f>
        <v>35524.692363600007</v>
      </c>
      <c r="E42" s="122"/>
      <c r="F42" s="124"/>
      <c r="G42" s="122"/>
      <c r="H42" s="124"/>
      <c r="I42" s="122"/>
      <c r="J42" s="124"/>
      <c r="K42" s="122"/>
      <c r="L42" s="124"/>
      <c r="M42" s="122">
        <v>0.46</v>
      </c>
      <c r="N42" s="124">
        <f>$D$42*M42</f>
        <v>16341.358487256004</v>
      </c>
      <c r="O42" s="122">
        <v>0.54</v>
      </c>
      <c r="P42" s="124">
        <f>$D$42*O42</f>
        <v>19183.333876344004</v>
      </c>
      <c r="Q42" s="125">
        <f t="shared" si="12"/>
        <v>35524.692363600007</v>
      </c>
      <c r="R42" s="126">
        <f t="shared" si="13"/>
        <v>1</v>
      </c>
    </row>
    <row r="43" spans="1:18" x14ac:dyDescent="0.25">
      <c r="A43" s="188" t="str">
        <f>'PLANILHA ORÇAMENTÁRIA'!A177</f>
        <v>7.4</v>
      </c>
      <c r="B43" s="136" t="str">
        <f>'PLANILHA ORÇAMENTÁRIA'!D177</f>
        <v>PINTURA</v>
      </c>
      <c r="C43" s="122">
        <f t="shared" si="2"/>
        <v>4.9591032193243316E-3</v>
      </c>
      <c r="D43" s="123">
        <f>'PLANILHA ORÇAMENTÁRIA'!J179</f>
        <v>9828.6009228000003</v>
      </c>
      <c r="E43" s="122"/>
      <c r="F43" s="124"/>
      <c r="G43" s="122"/>
      <c r="H43" s="124"/>
      <c r="I43" s="122"/>
      <c r="J43" s="124"/>
      <c r="K43" s="122"/>
      <c r="L43" s="124"/>
      <c r="M43" s="122">
        <v>0.46</v>
      </c>
      <c r="N43" s="124">
        <f>$D$43*M43</f>
        <v>4521.1564244880001</v>
      </c>
      <c r="O43" s="122">
        <v>0.54</v>
      </c>
      <c r="P43" s="124">
        <f>$D$43*O43</f>
        <v>5307.4444983120002</v>
      </c>
      <c r="Q43" s="125">
        <f t="shared" ref="Q43" si="14">F43+H43+J43+L43+N43+P43</f>
        <v>9828.6009228000003</v>
      </c>
      <c r="R43" s="126">
        <f t="shared" ref="R43" si="15">E43+G43+I43+K43+M43+O43</f>
        <v>1</v>
      </c>
    </row>
    <row r="44" spans="1:18" ht="15" customHeight="1" x14ac:dyDescent="0.25">
      <c r="A44" s="283" t="s">
        <v>513</v>
      </c>
      <c r="B44" s="285"/>
      <c r="C44" s="122">
        <f>SUM(C14:C16,C17:C18,C19:C20,C21:C22,C23,C24:C43)</f>
        <v>1.0000000000000002</v>
      </c>
      <c r="D44" s="122"/>
      <c r="E44" s="129"/>
      <c r="F44" s="130">
        <f>F45/$D$45</f>
        <v>2.097324799147304E-2</v>
      </c>
      <c r="G44" s="131"/>
      <c r="H44" s="130">
        <f>H45/$D$45</f>
        <v>9.3259668312716884E-2</v>
      </c>
      <c r="I44" s="131"/>
      <c r="J44" s="130">
        <f>J45/$D$45</f>
        <v>0.21887415884460362</v>
      </c>
      <c r="K44" s="131"/>
      <c r="L44" s="130">
        <f>L45/$D$45</f>
        <v>0.24834929571000763</v>
      </c>
      <c r="M44" s="131"/>
      <c r="N44" s="130">
        <f>N45/$D$45</f>
        <v>0.3195058455030918</v>
      </c>
      <c r="O44" s="131"/>
      <c r="P44" s="130">
        <f>P45/$D$45</f>
        <v>9.9037783638107002E-2</v>
      </c>
      <c r="Q44" s="117"/>
      <c r="R44" s="118"/>
    </row>
    <row r="45" spans="1:18" x14ac:dyDescent="0.25">
      <c r="A45" s="295" t="s">
        <v>514</v>
      </c>
      <c r="B45" s="295"/>
      <c r="C45" s="120"/>
      <c r="D45" s="132">
        <f>SUM(D14:D16,D17:D18,D19:D20,D21:D22,D23,D24:D43)</f>
        <v>1981931.1049022949</v>
      </c>
      <c r="E45" s="132"/>
      <c r="F45" s="132">
        <f>SUM(F14:F16,F17:F18,F19:F20,F21:F22,F23,F24:F38)</f>
        <v>41567.532565130001</v>
      </c>
      <c r="G45" s="132"/>
      <c r="H45" s="132">
        <f>SUM(H14:H16,H17:H18,H19:H20,H21:H22,H23,H24:H38)</f>
        <v>184834.23746184452</v>
      </c>
      <c r="I45" s="132"/>
      <c r="J45" s="132">
        <f>SUM(J14:J16,J17:J18,J19:J20,J21:J22,J23,J24:J38)</f>
        <v>433793.50347344566</v>
      </c>
      <c r="K45" s="132"/>
      <c r="L45" s="132">
        <f>SUM(L14:L16,L17:L18,L19:L20,L21:L22,L23,L24:L38)</f>
        <v>492211.19404824218</v>
      </c>
      <c r="M45" s="132"/>
      <c r="N45" s="132">
        <f>SUM(N14:N16,N17:N18,N19:N20,N21:N22,N23,N24:N43)</f>
        <v>633238.57340068463</v>
      </c>
      <c r="O45" s="132"/>
      <c r="P45" s="132">
        <f>SUM(P14:P16,P17:P18,P19:P20,P21:P22,P23,P24:P43)</f>
        <v>196286.06395294785</v>
      </c>
      <c r="Q45" s="117"/>
      <c r="R45" s="118"/>
    </row>
    <row r="46" spans="1:18" ht="15" customHeight="1" x14ac:dyDescent="0.25">
      <c r="A46" s="295" t="s">
        <v>515</v>
      </c>
      <c r="B46" s="295"/>
      <c r="C46" s="120"/>
      <c r="D46" s="120"/>
      <c r="E46" s="129"/>
      <c r="F46" s="130">
        <f>F47/$D$45</f>
        <v>2.097324799147304E-2</v>
      </c>
      <c r="G46" s="133"/>
      <c r="H46" s="130">
        <f>H44+F46</f>
        <v>0.11423291630418993</v>
      </c>
      <c r="I46" s="133"/>
      <c r="J46" s="130">
        <f>J44+H46</f>
        <v>0.33310707514879356</v>
      </c>
      <c r="K46" s="133"/>
      <c r="L46" s="130">
        <f>L44+J46</f>
        <v>0.5814563708588012</v>
      </c>
      <c r="M46" s="133"/>
      <c r="N46" s="130">
        <f>N44+L46</f>
        <v>0.900962216361893</v>
      </c>
      <c r="O46" s="133"/>
      <c r="P46" s="130">
        <f>P44+N46</f>
        <v>1</v>
      </c>
      <c r="Q46" s="117"/>
      <c r="R46" s="118"/>
    </row>
    <row r="47" spans="1:18" ht="15" customHeight="1" x14ac:dyDescent="0.25">
      <c r="A47" s="295" t="s">
        <v>516</v>
      </c>
      <c r="B47" s="295"/>
      <c r="C47" s="120"/>
      <c r="D47" s="120"/>
      <c r="E47" s="129"/>
      <c r="F47" s="134">
        <f>F45</f>
        <v>41567.532565130001</v>
      </c>
      <c r="G47" s="133"/>
      <c r="H47" s="135">
        <f>H45+F47</f>
        <v>226401.77002697453</v>
      </c>
      <c r="I47" s="133"/>
      <c r="J47" s="135">
        <f>J45+H47</f>
        <v>660195.27350042015</v>
      </c>
      <c r="K47" s="133"/>
      <c r="L47" s="135">
        <f>L45+J47</f>
        <v>1152406.4675486623</v>
      </c>
      <c r="M47" s="133"/>
      <c r="N47" s="135">
        <f>N45+L47</f>
        <v>1785645.040949347</v>
      </c>
      <c r="O47" s="133"/>
      <c r="P47" s="135">
        <f>P45+N47</f>
        <v>1981931.1049022949</v>
      </c>
      <c r="Q47" s="117"/>
      <c r="R47" s="118"/>
    </row>
  </sheetData>
  <mergeCells count="23">
    <mergeCell ref="A47:B47"/>
    <mergeCell ref="A44:B44"/>
    <mergeCell ref="A45:B45"/>
    <mergeCell ref="Q13:R13"/>
    <mergeCell ref="E13:F13"/>
    <mergeCell ref="G13:H13"/>
    <mergeCell ref="I13:J13"/>
    <mergeCell ref="K13:L13"/>
    <mergeCell ref="M13:N13"/>
    <mergeCell ref="O13:P13"/>
    <mergeCell ref="B25:R25"/>
    <mergeCell ref="A46:B46"/>
    <mergeCell ref="B39:R39"/>
    <mergeCell ref="A1:R5"/>
    <mergeCell ref="A6:R8"/>
    <mergeCell ref="R9:R12"/>
    <mergeCell ref="B15:R15"/>
    <mergeCell ref="B21:R21"/>
    <mergeCell ref="A12:P12"/>
    <mergeCell ref="A9:P9"/>
    <mergeCell ref="A10:P10"/>
    <mergeCell ref="A11:P11"/>
    <mergeCell ref="Q9:Q12"/>
  </mergeCells>
  <pageMargins left="0.511811024" right="0.511811024" top="0.78740157499999996" bottom="0.78740157499999996" header="0.31496062000000002" footer="0.31496062000000002"/>
  <pageSetup paperSize="9" scale="6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84"/>
  <sheetViews>
    <sheetView topLeftCell="A43" zoomScale="62" zoomScaleNormal="70" workbookViewId="0">
      <selection activeCell="O18" sqref="O18"/>
    </sheetView>
  </sheetViews>
  <sheetFormatPr defaultRowHeight="15.75" x14ac:dyDescent="0.25"/>
  <cols>
    <col min="1" max="1" width="11.5703125" style="2" bestFit="1" customWidth="1"/>
    <col min="2" max="2" width="17.7109375" style="3" customWidth="1"/>
    <col min="3" max="3" width="39.140625" style="4" customWidth="1"/>
    <col min="4" max="4" width="11.140625" style="2" bestFit="1" customWidth="1"/>
    <col min="5" max="5" width="13.140625" style="3" bestFit="1" customWidth="1"/>
    <col min="6" max="6" width="14.85546875" style="3" bestFit="1" customWidth="1"/>
    <col min="7" max="7" width="21.140625" style="3" bestFit="1" customWidth="1"/>
    <col min="8" max="8" width="19.5703125" style="3" bestFit="1" customWidth="1"/>
    <col min="9" max="9" width="21.140625" style="1" customWidth="1"/>
    <col min="10" max="10" width="12.42578125" bestFit="1" customWidth="1"/>
  </cols>
  <sheetData>
    <row r="1" spans="1:18" ht="15" x14ac:dyDescent="0.25">
      <c r="A1" s="245"/>
      <c r="B1" s="245"/>
      <c r="C1" s="245"/>
      <c r="D1" s="245"/>
      <c r="E1" s="245"/>
      <c r="F1" s="245"/>
      <c r="G1" s="245"/>
      <c r="H1" s="245"/>
      <c r="I1" s="246"/>
    </row>
    <row r="2" spans="1:18" ht="15" x14ac:dyDescent="0.25">
      <c r="A2" s="248"/>
      <c r="B2" s="248"/>
      <c r="C2" s="248"/>
      <c r="D2" s="248"/>
      <c r="E2" s="248"/>
      <c r="F2" s="248"/>
      <c r="G2" s="248"/>
      <c r="H2" s="248"/>
      <c r="I2" s="249"/>
    </row>
    <row r="3" spans="1:18" ht="15" x14ac:dyDescent="0.25">
      <c r="A3" s="248"/>
      <c r="B3" s="248"/>
      <c r="C3" s="248"/>
      <c r="D3" s="248"/>
      <c r="E3" s="248"/>
      <c r="F3" s="248"/>
      <c r="G3" s="248"/>
      <c r="H3" s="248"/>
      <c r="I3" s="249"/>
    </row>
    <row r="4" spans="1:18" ht="12.75" customHeight="1" x14ac:dyDescent="0.25">
      <c r="A4" s="248"/>
      <c r="B4" s="248"/>
      <c r="C4" s="248"/>
      <c r="D4" s="248"/>
      <c r="E4" s="248"/>
      <c r="F4" s="248"/>
      <c r="G4" s="248"/>
      <c r="H4" s="248"/>
      <c r="I4" s="249"/>
    </row>
    <row r="5" spans="1:18" ht="15" hidden="1" x14ac:dyDescent="0.25">
      <c r="A5" s="248"/>
      <c r="B5" s="248"/>
      <c r="C5" s="248"/>
      <c r="D5" s="248"/>
      <c r="E5" s="248"/>
      <c r="F5" s="248"/>
      <c r="G5" s="248"/>
      <c r="H5" s="248"/>
      <c r="I5" s="249"/>
    </row>
    <row r="6" spans="1:18" ht="15" customHeight="1" x14ac:dyDescent="0.25">
      <c r="A6" s="248" t="s">
        <v>786</v>
      </c>
      <c r="B6" s="248"/>
      <c r="C6" s="248"/>
      <c r="D6" s="248"/>
      <c r="E6" s="248"/>
      <c r="F6" s="248"/>
      <c r="G6" s="248"/>
      <c r="H6" s="248"/>
      <c r="I6" s="249"/>
    </row>
    <row r="7" spans="1:18" ht="15" customHeight="1" x14ac:dyDescent="0.25">
      <c r="A7" s="248"/>
      <c r="B7" s="248"/>
      <c r="C7" s="248"/>
      <c r="D7" s="248"/>
      <c r="E7" s="248"/>
      <c r="F7" s="248"/>
      <c r="G7" s="248"/>
      <c r="H7" s="248"/>
      <c r="I7" s="249"/>
    </row>
    <row r="8" spans="1:18" thickBot="1" x14ac:dyDescent="0.3">
      <c r="A8" s="251"/>
      <c r="B8" s="251"/>
      <c r="C8" s="251"/>
      <c r="D8" s="251"/>
      <c r="E8" s="251"/>
      <c r="F8" s="251"/>
      <c r="G8" s="251"/>
      <c r="H8" s="251"/>
      <c r="I8" s="252"/>
    </row>
    <row r="9" spans="1:18" x14ac:dyDescent="0.25">
      <c r="A9" s="312" t="s">
        <v>568</v>
      </c>
      <c r="B9" s="312"/>
      <c r="C9" s="312"/>
      <c r="D9" s="312"/>
      <c r="E9" s="312"/>
      <c r="F9" s="312"/>
      <c r="G9" s="312"/>
      <c r="H9" s="312"/>
      <c r="I9" s="313"/>
      <c r="J9" s="49"/>
      <c r="K9" s="49"/>
      <c r="L9" s="49"/>
      <c r="M9" s="49"/>
      <c r="N9" s="49"/>
      <c r="O9" s="49"/>
      <c r="P9" s="49"/>
      <c r="Q9" s="49"/>
      <c r="R9" s="49"/>
    </row>
    <row r="10" spans="1:18" x14ac:dyDescent="0.25">
      <c r="A10" s="28"/>
      <c r="B10" s="28"/>
      <c r="C10" s="28"/>
      <c r="D10" s="28"/>
      <c r="E10" s="28"/>
      <c r="F10" s="28"/>
      <c r="G10" s="28"/>
      <c r="H10" s="28"/>
      <c r="I10" s="29"/>
      <c r="J10" s="49"/>
      <c r="K10" s="49"/>
      <c r="L10" s="48"/>
      <c r="M10" s="49"/>
      <c r="N10" s="49"/>
      <c r="O10" s="49"/>
      <c r="P10" s="49"/>
      <c r="Q10" s="49"/>
      <c r="R10" s="49"/>
    </row>
    <row r="11" spans="1:18" x14ac:dyDescent="0.25">
      <c r="A11" s="5" t="s">
        <v>296</v>
      </c>
      <c r="B11" s="5" t="s">
        <v>295</v>
      </c>
      <c r="C11" s="5" t="s">
        <v>297</v>
      </c>
      <c r="D11" s="5" t="s">
        <v>1</v>
      </c>
      <c r="E11" s="6" t="s">
        <v>561</v>
      </c>
      <c r="F11" s="7" t="s">
        <v>562</v>
      </c>
      <c r="G11" s="7" t="s">
        <v>563</v>
      </c>
      <c r="H11" s="8" t="s">
        <v>564</v>
      </c>
      <c r="I11" s="7" t="s">
        <v>565</v>
      </c>
      <c r="J11" s="49"/>
      <c r="K11" s="48"/>
      <c r="L11" s="49"/>
      <c r="M11" s="49"/>
      <c r="N11" s="49"/>
      <c r="O11" s="49"/>
      <c r="P11" s="49"/>
      <c r="Q11" s="49"/>
      <c r="R11" s="49"/>
    </row>
    <row r="12" spans="1:18" x14ac:dyDescent="0.25">
      <c r="A12" s="9"/>
      <c r="B12" s="10"/>
      <c r="C12" s="11"/>
      <c r="D12" s="9"/>
      <c r="E12" s="12"/>
      <c r="F12" s="12"/>
      <c r="G12" s="12"/>
      <c r="H12" s="13"/>
      <c r="I12" s="30"/>
      <c r="J12" s="49"/>
      <c r="K12" s="51"/>
      <c r="M12" s="49"/>
      <c r="N12" s="49"/>
      <c r="O12" s="49"/>
      <c r="P12" s="49"/>
      <c r="Q12" s="49"/>
      <c r="R12" s="49"/>
    </row>
    <row r="13" spans="1:18" x14ac:dyDescent="0.25">
      <c r="A13" s="44"/>
      <c r="B13" s="44"/>
      <c r="C13" s="47" t="s">
        <v>314</v>
      </c>
      <c r="D13" s="45"/>
      <c r="E13" s="45"/>
      <c r="F13" s="46"/>
      <c r="G13" s="46"/>
      <c r="H13" s="88"/>
      <c r="I13" s="88"/>
      <c r="J13" s="49"/>
      <c r="K13" s="36"/>
      <c r="L13" s="49"/>
      <c r="M13" s="49"/>
      <c r="N13" s="49"/>
      <c r="O13" s="49"/>
      <c r="P13" s="49"/>
      <c r="Q13" s="49"/>
      <c r="R13" s="49"/>
    </row>
    <row r="14" spans="1:18" ht="31.5" x14ac:dyDescent="0.25">
      <c r="A14" s="103" t="s">
        <v>305</v>
      </c>
      <c r="B14" s="103" t="s">
        <v>607</v>
      </c>
      <c r="C14" s="149" t="s">
        <v>606</v>
      </c>
      <c r="D14" s="103" t="s">
        <v>4</v>
      </c>
      <c r="E14" s="74">
        <v>2</v>
      </c>
      <c r="F14" s="74">
        <v>3</v>
      </c>
      <c r="G14" s="74"/>
      <c r="H14" s="74">
        <f>E14*F14</f>
        <v>6</v>
      </c>
      <c r="I14" s="74"/>
      <c r="J14" s="49"/>
      <c r="K14" s="36"/>
      <c r="L14" s="49"/>
      <c r="M14" s="49"/>
      <c r="N14" s="49"/>
      <c r="O14" s="49"/>
      <c r="P14" s="49"/>
      <c r="Q14" s="49"/>
      <c r="R14" s="49"/>
    </row>
    <row r="15" spans="1:18" ht="63" x14ac:dyDescent="0.25">
      <c r="A15" s="103" t="s">
        <v>305</v>
      </c>
      <c r="B15" s="103" t="s">
        <v>540</v>
      </c>
      <c r="C15" s="108" t="s">
        <v>539</v>
      </c>
      <c r="D15" s="103" t="s">
        <v>4</v>
      </c>
      <c r="E15" s="74"/>
      <c r="F15" s="74">
        <v>105.77</v>
      </c>
      <c r="G15" s="74">
        <v>97.37</v>
      </c>
      <c r="H15" s="74">
        <f>G15*F15</f>
        <v>10298.8249</v>
      </c>
      <c r="I15" s="74"/>
      <c r="K15" s="36"/>
    </row>
    <row r="16" spans="1:18" ht="94.5" x14ac:dyDescent="0.25">
      <c r="A16" s="39" t="s">
        <v>315</v>
      </c>
      <c r="B16" s="39">
        <v>6096</v>
      </c>
      <c r="C16" s="41" t="s">
        <v>342</v>
      </c>
      <c r="D16" s="21" t="s">
        <v>37</v>
      </c>
      <c r="E16" s="40"/>
      <c r="F16" s="40"/>
      <c r="G16" s="40"/>
      <c r="H16" s="40"/>
      <c r="I16" s="40">
        <v>1</v>
      </c>
      <c r="K16" s="36"/>
    </row>
    <row r="17" spans="1:11" ht="63" x14ac:dyDescent="0.25">
      <c r="A17" s="39" t="s">
        <v>305</v>
      </c>
      <c r="B17" s="39">
        <v>41598</v>
      </c>
      <c r="C17" s="41" t="s">
        <v>343</v>
      </c>
      <c r="D17" s="21" t="s">
        <v>37</v>
      </c>
      <c r="E17" s="40"/>
      <c r="F17" s="40"/>
      <c r="G17" s="40"/>
      <c r="H17" s="40"/>
      <c r="I17" s="40">
        <v>1</v>
      </c>
      <c r="K17" s="36"/>
    </row>
    <row r="18" spans="1:11" ht="63" x14ac:dyDescent="0.25">
      <c r="A18" s="39" t="s">
        <v>307</v>
      </c>
      <c r="B18" s="39">
        <v>50</v>
      </c>
      <c r="C18" s="41" t="s">
        <v>541</v>
      </c>
      <c r="D18" s="39" t="s">
        <v>4</v>
      </c>
      <c r="E18" s="74"/>
      <c r="F18" s="40"/>
      <c r="G18" s="40"/>
      <c r="H18" s="40">
        <f>34.24+54.84+33.96</f>
        <v>123.04000000000002</v>
      </c>
      <c r="I18" s="40"/>
      <c r="K18" s="36"/>
    </row>
    <row r="19" spans="1:11" ht="47.25" x14ac:dyDescent="0.25">
      <c r="A19" s="39" t="s">
        <v>307</v>
      </c>
      <c r="B19" s="39">
        <v>4816</v>
      </c>
      <c r="C19" s="41" t="s">
        <v>542</v>
      </c>
      <c r="D19" s="39" t="s">
        <v>120</v>
      </c>
      <c r="E19" s="74"/>
      <c r="F19" s="40"/>
      <c r="G19" s="40">
        <f>4.41+34.3+12.8674+1.98+72.92+41.93+16.76+74.34+79.03+1.58+8.94+5.66+41.06</f>
        <v>395.77739999999994</v>
      </c>
      <c r="H19" s="40">
        <f>G19</f>
        <v>395.77739999999994</v>
      </c>
      <c r="I19" s="40"/>
      <c r="K19" s="36"/>
    </row>
    <row r="20" spans="1:11" ht="63" x14ac:dyDescent="0.25">
      <c r="A20" s="39" t="s">
        <v>305</v>
      </c>
      <c r="B20" s="39">
        <v>93582</v>
      </c>
      <c r="C20" s="42" t="s">
        <v>543</v>
      </c>
      <c r="D20" s="39" t="s">
        <v>4</v>
      </c>
      <c r="E20" s="40"/>
      <c r="F20" s="40">
        <v>6</v>
      </c>
      <c r="G20" s="40">
        <v>3</v>
      </c>
      <c r="H20" s="40">
        <f>F20*G20</f>
        <v>18</v>
      </c>
      <c r="I20" s="40"/>
    </row>
    <row r="21" spans="1:11" ht="78.75" x14ac:dyDescent="0.25">
      <c r="A21" s="39" t="s">
        <v>305</v>
      </c>
      <c r="B21" s="39">
        <v>93207</v>
      </c>
      <c r="C21" s="43" t="s">
        <v>544</v>
      </c>
      <c r="D21" s="39" t="s">
        <v>4</v>
      </c>
      <c r="E21" s="40"/>
      <c r="F21" s="40">
        <v>3</v>
      </c>
      <c r="G21" s="40">
        <v>3</v>
      </c>
      <c r="H21" s="40">
        <f>F21*G21</f>
        <v>9</v>
      </c>
      <c r="I21" s="40"/>
    </row>
    <row r="22" spans="1:11" x14ac:dyDescent="0.25">
      <c r="A22" s="273"/>
      <c r="B22" s="273"/>
      <c r="C22" s="273"/>
      <c r="D22" s="273"/>
      <c r="E22" s="273"/>
      <c r="F22" s="273"/>
      <c r="G22" s="274"/>
      <c r="H22" s="54"/>
      <c r="I22" s="54"/>
      <c r="K22" s="38"/>
    </row>
    <row r="23" spans="1:11" x14ac:dyDescent="0.25">
      <c r="A23" s="14"/>
      <c r="B23" s="15"/>
      <c r="C23" s="16" t="s">
        <v>282</v>
      </c>
      <c r="D23" s="58"/>
      <c r="E23" s="58"/>
      <c r="F23" s="58"/>
      <c r="G23" s="58"/>
      <c r="H23" s="58"/>
      <c r="I23" s="33"/>
    </row>
    <row r="24" spans="1:11" x14ac:dyDescent="0.25">
      <c r="A24" s="14"/>
      <c r="B24" s="15"/>
      <c r="C24" s="16" t="s">
        <v>309</v>
      </c>
      <c r="D24" s="17"/>
      <c r="E24" s="18"/>
      <c r="F24" s="18"/>
      <c r="G24" s="18"/>
      <c r="H24" s="31"/>
      <c r="I24" s="33"/>
    </row>
    <row r="25" spans="1:11" ht="47.25" x14ac:dyDescent="0.25">
      <c r="A25" s="21" t="s">
        <v>305</v>
      </c>
      <c r="B25" s="19">
        <v>93358</v>
      </c>
      <c r="C25" s="20" t="s">
        <v>317</v>
      </c>
      <c r="D25" s="21" t="s">
        <v>248</v>
      </c>
      <c r="E25" s="157">
        <v>0.4</v>
      </c>
      <c r="F25" s="40">
        <v>0.4</v>
      </c>
      <c r="G25" s="153">
        <v>483.58</v>
      </c>
      <c r="H25" s="170">
        <f>G25*F25*E25</f>
        <v>77.372800000000012</v>
      </c>
      <c r="I25" s="153"/>
    </row>
    <row r="26" spans="1:11" ht="37.5" customHeight="1" x14ac:dyDescent="0.25">
      <c r="A26" s="303" t="s">
        <v>305</v>
      </c>
      <c r="B26" s="305">
        <v>94963</v>
      </c>
      <c r="C26" s="307" t="s">
        <v>344</v>
      </c>
      <c r="D26" s="303" t="s">
        <v>248</v>
      </c>
      <c r="E26" s="171">
        <v>0.2</v>
      </c>
      <c r="F26" s="40">
        <v>0.4</v>
      </c>
      <c r="G26" s="153">
        <f>G25-(G25/3)</f>
        <v>322.38666666666666</v>
      </c>
      <c r="H26" s="154">
        <f>G26*F26*E26</f>
        <v>25.790933333333335</v>
      </c>
      <c r="I26" s="170">
        <f>H26+I27</f>
        <v>33.566933333333338</v>
      </c>
    </row>
    <row r="27" spans="1:11" ht="43.5" customHeight="1" x14ac:dyDescent="0.25">
      <c r="A27" s="304"/>
      <c r="B27" s="306"/>
      <c r="C27" s="308"/>
      <c r="D27" s="304"/>
      <c r="E27" s="171">
        <v>0.3</v>
      </c>
      <c r="F27" s="40">
        <v>0.4</v>
      </c>
      <c r="G27" s="153">
        <v>0.4</v>
      </c>
      <c r="H27" s="169" t="s">
        <v>667</v>
      </c>
      <c r="I27" s="153">
        <f>E27*F27*G27*162</f>
        <v>7.7759999999999998</v>
      </c>
    </row>
    <row r="28" spans="1:11" ht="63" x14ac:dyDescent="0.25">
      <c r="A28" s="21" t="s">
        <v>305</v>
      </c>
      <c r="B28" s="19">
        <v>92873</v>
      </c>
      <c r="C28" s="20" t="s">
        <v>345</v>
      </c>
      <c r="D28" s="21" t="s">
        <v>248</v>
      </c>
      <c r="E28" s="157"/>
      <c r="F28" s="40"/>
      <c r="G28" s="153"/>
      <c r="H28" s="170">
        <f>I26</f>
        <v>33.566933333333338</v>
      </c>
      <c r="I28" s="153"/>
    </row>
    <row r="29" spans="1:11" ht="141.75" x14ac:dyDescent="0.25">
      <c r="A29" s="137" t="s">
        <v>305</v>
      </c>
      <c r="B29" s="140">
        <v>87481</v>
      </c>
      <c r="C29" s="73" t="s">
        <v>546</v>
      </c>
      <c r="D29" s="137" t="s">
        <v>4</v>
      </c>
      <c r="E29" s="155">
        <v>0.2</v>
      </c>
      <c r="F29" s="156"/>
      <c r="G29" s="153">
        <f>G25</f>
        <v>483.58</v>
      </c>
      <c r="H29" s="170">
        <f>G29*E29</f>
        <v>96.716000000000008</v>
      </c>
      <c r="I29" s="156"/>
    </row>
    <row r="30" spans="1:11" x14ac:dyDescent="0.25">
      <c r="A30" s="300"/>
      <c r="B30" s="300"/>
      <c r="C30" s="300"/>
      <c r="D30" s="300"/>
      <c r="E30" s="300"/>
      <c r="F30" s="300"/>
      <c r="G30" s="301"/>
      <c r="H30" s="59"/>
      <c r="I30" s="59"/>
    </row>
    <row r="31" spans="1:11" x14ac:dyDescent="0.25">
      <c r="A31" s="14"/>
      <c r="B31" s="15"/>
      <c r="C31" s="16" t="s">
        <v>310</v>
      </c>
      <c r="D31" s="17"/>
      <c r="E31" s="18"/>
      <c r="F31" s="18"/>
      <c r="G31" s="32"/>
      <c r="H31" s="31"/>
      <c r="I31" s="33"/>
    </row>
    <row r="32" spans="1:11" ht="141.75" x14ac:dyDescent="0.25">
      <c r="A32" s="137" t="s">
        <v>305</v>
      </c>
      <c r="B32" s="140">
        <v>87507</v>
      </c>
      <c r="C32" s="73" t="s">
        <v>547</v>
      </c>
      <c r="D32" s="137" t="s">
        <v>4</v>
      </c>
      <c r="E32" s="155">
        <v>2.2000000000000002</v>
      </c>
      <c r="F32" s="156"/>
      <c r="G32" s="153">
        <f>G25</f>
        <v>483.58</v>
      </c>
      <c r="H32" s="170">
        <f>G32*E32</f>
        <v>1063.876</v>
      </c>
      <c r="I32" s="156"/>
      <c r="J32" s="84"/>
      <c r="K32" s="84"/>
    </row>
    <row r="33" spans="1:9" ht="110.25" x14ac:dyDescent="0.25">
      <c r="A33" s="21" t="s">
        <v>307</v>
      </c>
      <c r="B33" s="19">
        <v>6456</v>
      </c>
      <c r="C33" s="20" t="s">
        <v>346</v>
      </c>
      <c r="D33" s="21" t="s">
        <v>248</v>
      </c>
      <c r="E33" s="157">
        <v>2.2000000000000002</v>
      </c>
      <c r="F33" s="172" t="s">
        <v>608</v>
      </c>
      <c r="G33" s="153">
        <f>G25</f>
        <v>483.58</v>
      </c>
      <c r="H33" s="169" t="s">
        <v>668</v>
      </c>
      <c r="I33" s="170">
        <f>(E33*0.03*162)+(0.02*2*G33)</f>
        <v>30.0352</v>
      </c>
    </row>
    <row r="34" spans="1:9" x14ac:dyDescent="0.25">
      <c r="A34" s="300"/>
      <c r="B34" s="300"/>
      <c r="C34" s="300"/>
      <c r="D34" s="300"/>
      <c r="E34" s="300"/>
      <c r="F34" s="300"/>
      <c r="G34" s="301"/>
      <c r="H34" s="59"/>
      <c r="I34" s="59"/>
    </row>
    <row r="35" spans="1:9" x14ac:dyDescent="0.25">
      <c r="A35" s="14"/>
      <c r="B35" s="15"/>
      <c r="C35" s="16" t="s">
        <v>283</v>
      </c>
      <c r="D35" s="17"/>
      <c r="E35" s="18"/>
      <c r="F35" s="18"/>
      <c r="G35" s="32"/>
      <c r="H35" s="31"/>
      <c r="I35" s="33"/>
    </row>
    <row r="36" spans="1:9" ht="126" x14ac:dyDescent="0.25">
      <c r="A36" s="21" t="s">
        <v>305</v>
      </c>
      <c r="B36" s="19">
        <v>87893</v>
      </c>
      <c r="C36" s="20" t="s">
        <v>548</v>
      </c>
      <c r="D36" s="21" t="s">
        <v>4</v>
      </c>
      <c r="E36" s="157">
        <v>2.2000000000000002</v>
      </c>
      <c r="F36" s="153"/>
      <c r="G36" s="153">
        <f>G25*2</f>
        <v>967.16</v>
      </c>
      <c r="H36" s="170">
        <f>G36*E36</f>
        <v>2127.752</v>
      </c>
      <c r="I36" s="153"/>
    </row>
    <row r="37" spans="1:9" ht="157.5" x14ac:dyDescent="0.25">
      <c r="A37" s="137" t="s">
        <v>305</v>
      </c>
      <c r="B37" s="140">
        <v>87529</v>
      </c>
      <c r="C37" s="73" t="s">
        <v>549</v>
      </c>
      <c r="D37" s="137" t="s">
        <v>4</v>
      </c>
      <c r="E37" s="155">
        <v>2.2000000000000002</v>
      </c>
      <c r="F37" s="156">
        <v>156</v>
      </c>
      <c r="G37" s="156" t="s">
        <v>669</v>
      </c>
      <c r="H37" s="170">
        <f>E37*F37*2</f>
        <v>686.40000000000009</v>
      </c>
      <c r="I37" s="156"/>
    </row>
    <row r="38" spans="1:9" x14ac:dyDescent="0.25">
      <c r="A38" s="300"/>
      <c r="B38" s="300"/>
      <c r="C38" s="300"/>
      <c r="D38" s="300"/>
      <c r="E38" s="300"/>
      <c r="F38" s="300"/>
      <c r="G38" s="301"/>
      <c r="H38" s="59"/>
      <c r="I38" s="59"/>
    </row>
    <row r="39" spans="1:9" x14ac:dyDescent="0.25">
      <c r="A39" s="14"/>
      <c r="B39" s="15"/>
      <c r="C39" s="16" t="s">
        <v>9</v>
      </c>
      <c r="D39" s="17"/>
      <c r="E39" s="18"/>
      <c r="F39" s="18"/>
      <c r="G39" s="32"/>
      <c r="H39" s="31"/>
      <c r="I39" s="33"/>
    </row>
    <row r="40" spans="1:9" ht="47.25" x14ac:dyDescent="0.25">
      <c r="A40" s="137" t="s">
        <v>305</v>
      </c>
      <c r="B40" s="140">
        <v>95305</v>
      </c>
      <c r="C40" s="173" t="s">
        <v>323</v>
      </c>
      <c r="D40" s="137" t="s">
        <v>4</v>
      </c>
      <c r="E40" s="155"/>
      <c r="F40" s="156"/>
      <c r="G40" s="156"/>
      <c r="H40" s="170">
        <f>H37</f>
        <v>686.40000000000009</v>
      </c>
      <c r="I40" s="156"/>
    </row>
    <row r="41" spans="1:9" ht="63" x14ac:dyDescent="0.25">
      <c r="A41" s="137" t="s">
        <v>305</v>
      </c>
      <c r="B41" s="140">
        <v>95468</v>
      </c>
      <c r="C41" s="73" t="s">
        <v>347</v>
      </c>
      <c r="D41" s="137" t="s">
        <v>4</v>
      </c>
      <c r="E41" s="155">
        <v>2.2000000000000002</v>
      </c>
      <c r="F41" s="156">
        <v>4</v>
      </c>
      <c r="G41" s="156" t="s">
        <v>670</v>
      </c>
      <c r="H41" s="170">
        <f>E41*F41*2</f>
        <v>17.600000000000001</v>
      </c>
      <c r="I41" s="156"/>
    </row>
    <row r="42" spans="1:9" x14ac:dyDescent="0.25">
      <c r="A42" s="300"/>
      <c r="B42" s="300"/>
      <c r="C42" s="300"/>
      <c r="D42" s="300"/>
      <c r="E42" s="300"/>
      <c r="F42" s="300"/>
      <c r="G42" s="301"/>
      <c r="H42" s="59"/>
      <c r="I42" s="59"/>
    </row>
    <row r="43" spans="1:9" x14ac:dyDescent="0.25">
      <c r="A43" s="14"/>
      <c r="B43" s="15"/>
      <c r="C43" s="16" t="s">
        <v>3</v>
      </c>
      <c r="D43" s="17"/>
      <c r="E43" s="18"/>
      <c r="F43" s="18"/>
      <c r="G43" s="32"/>
      <c r="H43" s="31"/>
      <c r="I43" s="33"/>
    </row>
    <row r="44" spans="1:9" ht="31.5" x14ac:dyDescent="0.25">
      <c r="A44" s="137" t="s">
        <v>305</v>
      </c>
      <c r="B44" s="140">
        <v>68054</v>
      </c>
      <c r="C44" s="73" t="s">
        <v>567</v>
      </c>
      <c r="D44" s="137" t="s">
        <v>4</v>
      </c>
      <c r="E44" s="75">
        <v>2.2000000000000002</v>
      </c>
      <c r="F44" s="156">
        <v>4</v>
      </c>
      <c r="G44" s="156" t="s">
        <v>670</v>
      </c>
      <c r="H44" s="170">
        <f>E44*F44*2</f>
        <v>17.600000000000001</v>
      </c>
      <c r="I44" s="156"/>
    </row>
    <row r="45" spans="1:9" x14ac:dyDescent="0.25">
      <c r="A45" s="300"/>
      <c r="B45" s="300"/>
      <c r="C45" s="300"/>
      <c r="D45" s="300"/>
      <c r="E45" s="300"/>
      <c r="F45" s="300"/>
      <c r="G45" s="301"/>
      <c r="H45" s="59"/>
      <c r="I45" s="59"/>
    </row>
    <row r="46" spans="1:9" x14ac:dyDescent="0.25">
      <c r="A46" s="241"/>
      <c r="B46" s="241"/>
      <c r="C46" s="241"/>
      <c r="D46" s="241"/>
      <c r="E46" s="241"/>
      <c r="F46" s="241"/>
      <c r="G46" s="242"/>
      <c r="H46" s="35"/>
      <c r="I46" s="35"/>
    </row>
    <row r="47" spans="1:9" x14ac:dyDescent="0.25">
      <c r="A47" s="55"/>
      <c r="B47" s="55"/>
      <c r="C47" s="56" t="s">
        <v>2</v>
      </c>
      <c r="D47" s="56"/>
      <c r="E47" s="56"/>
      <c r="F47" s="57"/>
      <c r="G47" s="57"/>
      <c r="H47" s="275"/>
      <c r="I47" s="314"/>
    </row>
    <row r="48" spans="1:9" x14ac:dyDescent="0.25">
      <c r="A48" s="14"/>
      <c r="B48" s="15"/>
      <c r="C48" s="16" t="s">
        <v>147</v>
      </c>
      <c r="D48" s="17"/>
      <c r="E48" s="18"/>
      <c r="F48" s="18"/>
      <c r="G48" s="32"/>
      <c r="H48" s="31"/>
      <c r="I48" s="32"/>
    </row>
    <row r="49" spans="1:10" ht="47.25" x14ac:dyDescent="0.25">
      <c r="A49" s="21" t="s">
        <v>305</v>
      </c>
      <c r="B49" s="19">
        <v>93358</v>
      </c>
      <c r="C49" s="20" t="s">
        <v>317</v>
      </c>
      <c r="D49" s="21" t="s">
        <v>248</v>
      </c>
      <c r="E49" s="157">
        <v>0.5</v>
      </c>
      <c r="F49" s="40">
        <v>0.5</v>
      </c>
      <c r="G49" s="153">
        <v>1159.08</v>
      </c>
      <c r="H49" s="170">
        <f>G49*F49*E49</f>
        <v>289.77</v>
      </c>
      <c r="I49" s="153"/>
    </row>
    <row r="50" spans="1:10" ht="110.25" x14ac:dyDescent="0.25">
      <c r="A50" s="21" t="s">
        <v>305</v>
      </c>
      <c r="B50" s="19">
        <v>102690</v>
      </c>
      <c r="C50" s="73" t="s">
        <v>790</v>
      </c>
      <c r="D50" s="21" t="s">
        <v>120</v>
      </c>
      <c r="E50" s="157"/>
      <c r="F50" s="153"/>
      <c r="G50" s="153">
        <v>1159.08</v>
      </c>
      <c r="H50" s="170">
        <f>G50</f>
        <v>1159.08</v>
      </c>
      <c r="I50" s="153"/>
      <c r="J50" s="84"/>
    </row>
    <row r="51" spans="1:10" ht="31.5" hidden="1" x14ac:dyDescent="0.25">
      <c r="A51" s="21" t="s">
        <v>305</v>
      </c>
      <c r="B51" s="19">
        <v>83668</v>
      </c>
      <c r="C51" s="20" t="s">
        <v>349</v>
      </c>
      <c r="D51" s="21" t="s">
        <v>248</v>
      </c>
      <c r="E51" s="157">
        <v>0.5</v>
      </c>
      <c r="F51" s="153">
        <v>0.5</v>
      </c>
      <c r="G51" s="153">
        <v>1159.08</v>
      </c>
      <c r="H51" s="170">
        <f>G51*F51*E51</f>
        <v>289.77</v>
      </c>
      <c r="I51" s="153"/>
      <c r="J51" s="84"/>
    </row>
    <row r="52" spans="1:10" ht="47.25" hidden="1" x14ac:dyDescent="0.25">
      <c r="A52" s="137" t="s">
        <v>311</v>
      </c>
      <c r="B52" s="140">
        <v>2</v>
      </c>
      <c r="C52" s="73" t="s">
        <v>530</v>
      </c>
      <c r="D52" s="137" t="s">
        <v>120</v>
      </c>
      <c r="E52" s="155"/>
      <c r="F52" s="156"/>
      <c r="G52" s="153">
        <v>1159.08</v>
      </c>
      <c r="H52" s="170">
        <f>G52</f>
        <v>1159.08</v>
      </c>
      <c r="I52" s="156"/>
    </row>
    <row r="53" spans="1:10" ht="31.5" x14ac:dyDescent="0.25">
      <c r="A53" s="21" t="s">
        <v>311</v>
      </c>
      <c r="B53" s="19">
        <v>6</v>
      </c>
      <c r="C53" s="73" t="s">
        <v>325</v>
      </c>
      <c r="D53" s="21" t="s">
        <v>37</v>
      </c>
      <c r="E53" s="157"/>
      <c r="F53" s="153"/>
      <c r="G53" s="153"/>
      <c r="H53" s="170">
        <v>6</v>
      </c>
      <c r="I53" s="153"/>
    </row>
    <row r="54" spans="1:10" x14ac:dyDescent="0.25">
      <c r="A54" s="299"/>
      <c r="B54" s="299"/>
      <c r="C54" s="299"/>
      <c r="D54" s="299"/>
      <c r="E54" s="299"/>
      <c r="F54" s="299"/>
      <c r="G54" s="299"/>
      <c r="H54" s="59"/>
      <c r="I54" s="59"/>
    </row>
    <row r="55" spans="1:10" x14ac:dyDescent="0.25">
      <c r="A55" s="14"/>
      <c r="B55" s="15"/>
      <c r="C55" s="16" t="s">
        <v>354</v>
      </c>
      <c r="D55" s="17"/>
      <c r="E55" s="18"/>
      <c r="F55" s="18"/>
      <c r="G55" s="32"/>
      <c r="H55" s="31"/>
      <c r="I55" s="32"/>
    </row>
    <row r="56" spans="1:10" s="84" customFormat="1" ht="47.25" x14ac:dyDescent="0.25">
      <c r="A56" s="21" t="s">
        <v>305</v>
      </c>
      <c r="B56" s="19">
        <v>93358</v>
      </c>
      <c r="C56" s="20" t="s">
        <v>317</v>
      </c>
      <c r="D56" s="21" t="s">
        <v>248</v>
      </c>
      <c r="E56" s="157">
        <v>0.3</v>
      </c>
      <c r="F56" s="40">
        <v>0.1</v>
      </c>
      <c r="G56" s="153">
        <v>376.06</v>
      </c>
      <c r="H56" s="170">
        <f>G56*F56*E56</f>
        <v>11.2818</v>
      </c>
      <c r="I56" s="153"/>
    </row>
    <row r="57" spans="1:10" ht="47.25" x14ac:dyDescent="0.25">
      <c r="A57" s="137" t="s">
        <v>307</v>
      </c>
      <c r="B57" s="140">
        <v>8219</v>
      </c>
      <c r="C57" s="73" t="s">
        <v>535</v>
      </c>
      <c r="D57" s="137" t="s">
        <v>37</v>
      </c>
      <c r="E57" s="155"/>
      <c r="F57" s="155"/>
      <c r="G57" s="153"/>
      <c r="H57" s="170">
        <v>1</v>
      </c>
      <c r="I57" s="153"/>
    </row>
    <row r="58" spans="1:10" ht="63" x14ac:dyDescent="0.25">
      <c r="A58" s="137" t="s">
        <v>307</v>
      </c>
      <c r="B58" s="140">
        <v>9812</v>
      </c>
      <c r="C58" s="73" t="s">
        <v>536</v>
      </c>
      <c r="D58" s="137" t="s">
        <v>37</v>
      </c>
      <c r="E58" s="155"/>
      <c r="F58" s="155"/>
      <c r="G58" s="153"/>
      <c r="H58" s="170">
        <v>1</v>
      </c>
      <c r="I58" s="153"/>
    </row>
    <row r="59" spans="1:10" ht="96" customHeight="1" x14ac:dyDescent="0.25">
      <c r="A59" s="137" t="s">
        <v>305</v>
      </c>
      <c r="B59" s="140">
        <v>89413</v>
      </c>
      <c r="C59" s="73" t="s">
        <v>531</v>
      </c>
      <c r="D59" s="137" t="s">
        <v>37</v>
      </c>
      <c r="E59" s="155"/>
      <c r="F59" s="155"/>
      <c r="G59" s="153"/>
      <c r="H59" s="170">
        <v>4</v>
      </c>
      <c r="I59" s="153"/>
    </row>
    <row r="60" spans="1:10" ht="63" x14ac:dyDescent="0.25">
      <c r="A60" s="137" t="s">
        <v>305</v>
      </c>
      <c r="B60" s="140" t="s">
        <v>533</v>
      </c>
      <c r="C60" s="73" t="s">
        <v>532</v>
      </c>
      <c r="D60" s="137" t="s">
        <v>120</v>
      </c>
      <c r="E60" s="155"/>
      <c r="F60" s="155"/>
      <c r="G60" s="153"/>
      <c r="H60" s="170">
        <v>403.88</v>
      </c>
      <c r="I60" s="153"/>
    </row>
    <row r="61" spans="1:10" ht="47.25" x14ac:dyDescent="0.25">
      <c r="A61" s="137" t="s">
        <v>305</v>
      </c>
      <c r="B61" s="19">
        <v>72809</v>
      </c>
      <c r="C61" s="52" t="s">
        <v>534</v>
      </c>
      <c r="D61" s="137" t="s">
        <v>37</v>
      </c>
      <c r="E61" s="157"/>
      <c r="F61" s="153"/>
      <c r="G61" s="153"/>
      <c r="H61" s="170">
        <v>15</v>
      </c>
      <c r="I61" s="153"/>
    </row>
    <row r="62" spans="1:10" ht="78.75" x14ac:dyDescent="0.25">
      <c r="A62" s="137" t="s">
        <v>307</v>
      </c>
      <c r="B62" s="19">
        <v>9461</v>
      </c>
      <c r="C62" s="52" t="s">
        <v>537</v>
      </c>
      <c r="D62" s="137" t="s">
        <v>37</v>
      </c>
      <c r="E62" s="157"/>
      <c r="F62" s="157"/>
      <c r="G62" s="153"/>
      <c r="H62" s="170">
        <v>15</v>
      </c>
      <c r="I62" s="153"/>
    </row>
    <row r="63" spans="1:10" ht="31.5" x14ac:dyDescent="0.25">
      <c r="A63" s="137" t="s">
        <v>307</v>
      </c>
      <c r="B63" s="19">
        <v>9813</v>
      </c>
      <c r="C63" s="52" t="s">
        <v>538</v>
      </c>
      <c r="D63" s="137" t="s">
        <v>37</v>
      </c>
      <c r="E63" s="157"/>
      <c r="F63" s="157"/>
      <c r="G63" s="153"/>
      <c r="H63" s="170">
        <v>15</v>
      </c>
      <c r="I63" s="153"/>
    </row>
    <row r="64" spans="1:10" x14ac:dyDescent="0.25">
      <c r="A64" s="299"/>
      <c r="B64" s="299"/>
      <c r="C64" s="299"/>
      <c r="D64" s="299"/>
      <c r="E64" s="299"/>
      <c r="F64" s="299"/>
      <c r="G64" s="299"/>
      <c r="H64" s="59"/>
      <c r="I64" s="59"/>
    </row>
    <row r="65" spans="1:9" ht="15.75" customHeight="1" x14ac:dyDescent="0.25">
      <c r="A65" s="14"/>
      <c r="B65" s="15"/>
      <c r="C65" s="16" t="s">
        <v>353</v>
      </c>
      <c r="D65" s="17"/>
      <c r="E65" s="18"/>
      <c r="F65" s="18"/>
      <c r="G65" s="32"/>
      <c r="H65" s="31"/>
      <c r="I65" s="32"/>
    </row>
    <row r="66" spans="1:9" ht="31.5" x14ac:dyDescent="0.25">
      <c r="A66" s="137" t="s">
        <v>305</v>
      </c>
      <c r="B66" s="140">
        <v>98504</v>
      </c>
      <c r="C66" s="73" t="s">
        <v>545</v>
      </c>
      <c r="D66" s="137" t="s">
        <v>4</v>
      </c>
      <c r="E66" s="155"/>
      <c r="F66" s="152">
        <v>64.34</v>
      </c>
      <c r="G66" s="153">
        <v>96</v>
      </c>
      <c r="H66" s="170">
        <f>F66*G66</f>
        <v>6176.64</v>
      </c>
      <c r="I66" s="156"/>
    </row>
    <row r="67" spans="1:9" ht="63" x14ac:dyDescent="0.25">
      <c r="A67" s="137" t="s">
        <v>311</v>
      </c>
      <c r="B67" s="140">
        <v>3</v>
      </c>
      <c r="C67" s="73" t="s">
        <v>553</v>
      </c>
      <c r="D67" s="137" t="s">
        <v>4</v>
      </c>
      <c r="E67" s="155"/>
      <c r="F67" s="152">
        <v>64.34</v>
      </c>
      <c r="G67" s="153">
        <v>96</v>
      </c>
      <c r="H67" s="170">
        <f>F67*G67</f>
        <v>6176.64</v>
      </c>
      <c r="I67" s="156"/>
    </row>
    <row r="68" spans="1:9" x14ac:dyDescent="0.25">
      <c r="A68" s="300"/>
      <c r="B68" s="300"/>
      <c r="C68" s="300"/>
      <c r="D68" s="300"/>
      <c r="E68" s="300"/>
      <c r="F68" s="300"/>
      <c r="G68" s="301"/>
      <c r="H68" s="59"/>
      <c r="I68" s="59"/>
    </row>
    <row r="69" spans="1:9" x14ac:dyDescent="0.25">
      <c r="A69" s="241"/>
      <c r="B69" s="241"/>
      <c r="C69" s="241"/>
      <c r="D69" s="241"/>
      <c r="E69" s="241"/>
      <c r="F69" s="241"/>
      <c r="G69" s="242"/>
      <c r="H69" s="35"/>
      <c r="I69" s="35"/>
    </row>
    <row r="70" spans="1:9" x14ac:dyDescent="0.25">
      <c r="A70" s="15"/>
      <c r="B70" s="76"/>
      <c r="C70" s="77" t="s">
        <v>671</v>
      </c>
      <c r="D70" s="18"/>
      <c r="E70" s="18"/>
      <c r="F70" s="31"/>
      <c r="G70" s="78"/>
      <c r="H70" s="78"/>
      <c r="I70" s="78"/>
    </row>
    <row r="71" spans="1:9" x14ac:dyDescent="0.25">
      <c r="A71" s="15"/>
      <c r="B71" s="15"/>
      <c r="C71" s="16" t="s">
        <v>309</v>
      </c>
      <c r="D71" s="18"/>
      <c r="E71" s="18"/>
      <c r="F71" s="31"/>
      <c r="G71" s="31"/>
      <c r="H71" s="31"/>
      <c r="I71" s="31"/>
    </row>
    <row r="72" spans="1:9" ht="47.25" x14ac:dyDescent="0.25">
      <c r="A72" s="21" t="s">
        <v>305</v>
      </c>
      <c r="B72" s="19">
        <v>93358</v>
      </c>
      <c r="C72" s="20" t="s">
        <v>317</v>
      </c>
      <c r="D72" s="21" t="s">
        <v>248</v>
      </c>
      <c r="E72" s="157">
        <v>0.4</v>
      </c>
      <c r="F72" s="40">
        <v>0.3</v>
      </c>
      <c r="G72" s="153">
        <f>63.9+((27+22.68)*2)</f>
        <v>163.26</v>
      </c>
      <c r="H72" s="170">
        <f>G72*F72*E72</f>
        <v>19.591200000000001</v>
      </c>
      <c r="I72" s="153"/>
    </row>
    <row r="73" spans="1:9" ht="28.5" customHeight="1" x14ac:dyDescent="0.25">
      <c r="A73" s="303" t="s">
        <v>305</v>
      </c>
      <c r="B73" s="305">
        <v>94963</v>
      </c>
      <c r="C73" s="307" t="s">
        <v>344</v>
      </c>
      <c r="D73" s="303" t="s">
        <v>248</v>
      </c>
      <c r="E73" s="157">
        <v>0.15</v>
      </c>
      <c r="F73" s="40">
        <v>0.3</v>
      </c>
      <c r="G73" s="153">
        <f>63.9+((27+22.68)*2)</f>
        <v>163.26</v>
      </c>
      <c r="H73" s="154">
        <f>G73*F73*E73</f>
        <v>7.3466999999999985</v>
      </c>
      <c r="I73" s="170">
        <f>H73+I74+0.01</f>
        <v>8.4366999999999983</v>
      </c>
    </row>
    <row r="74" spans="1:9" ht="35.25" customHeight="1" x14ac:dyDescent="0.25">
      <c r="A74" s="304"/>
      <c r="B74" s="306"/>
      <c r="C74" s="308"/>
      <c r="D74" s="304"/>
      <c r="E74" s="157">
        <v>0.4</v>
      </c>
      <c r="F74" s="40">
        <v>0.3</v>
      </c>
      <c r="G74" s="153">
        <v>0.3</v>
      </c>
      <c r="H74" s="154">
        <v>30</v>
      </c>
      <c r="I74" s="170">
        <f>E74*F74*G74*H74</f>
        <v>1.0799999999999998</v>
      </c>
    </row>
    <row r="75" spans="1:9" ht="63" x14ac:dyDescent="0.25">
      <c r="A75" s="21" t="s">
        <v>305</v>
      </c>
      <c r="B75" s="19">
        <v>92873</v>
      </c>
      <c r="C75" s="20" t="s">
        <v>345</v>
      </c>
      <c r="D75" s="21" t="s">
        <v>248</v>
      </c>
      <c r="E75" s="157"/>
      <c r="F75" s="40"/>
      <c r="G75" s="153"/>
      <c r="H75" s="170">
        <f>I73</f>
        <v>8.4366999999999983</v>
      </c>
      <c r="I75" s="153"/>
    </row>
    <row r="76" spans="1:9" ht="141.75" x14ac:dyDescent="0.25">
      <c r="A76" s="137" t="s">
        <v>305</v>
      </c>
      <c r="B76" s="140">
        <v>87481</v>
      </c>
      <c r="C76" s="73" t="s">
        <v>546</v>
      </c>
      <c r="D76" s="137" t="s">
        <v>4</v>
      </c>
      <c r="E76" s="157">
        <v>0.15</v>
      </c>
      <c r="F76" s="40"/>
      <c r="G76" s="153">
        <f>G72</f>
        <v>163.26</v>
      </c>
      <c r="H76" s="170">
        <f>G76*E76</f>
        <v>24.488999999999997</v>
      </c>
      <c r="I76" s="156"/>
    </row>
    <row r="77" spans="1:9" ht="110.25" x14ac:dyDescent="0.25">
      <c r="A77" s="137" t="s">
        <v>307</v>
      </c>
      <c r="B77" s="140">
        <v>6456</v>
      </c>
      <c r="C77" s="73" t="s">
        <v>346</v>
      </c>
      <c r="D77" s="137" t="s">
        <v>248</v>
      </c>
      <c r="E77" s="155">
        <v>0.1</v>
      </c>
      <c r="F77" s="156">
        <v>0.2</v>
      </c>
      <c r="G77" s="153">
        <f>G72</f>
        <v>163.26</v>
      </c>
      <c r="H77" s="170">
        <f>E77*F77*G77</f>
        <v>3.2652000000000005</v>
      </c>
      <c r="I77" s="156"/>
    </row>
    <row r="78" spans="1:9" ht="47.25" x14ac:dyDescent="0.25">
      <c r="A78" s="137" t="s">
        <v>305</v>
      </c>
      <c r="B78" s="140" t="s">
        <v>288</v>
      </c>
      <c r="C78" s="145" t="s">
        <v>348</v>
      </c>
      <c r="D78" s="137" t="s">
        <v>4</v>
      </c>
      <c r="E78" s="155"/>
      <c r="F78" s="156">
        <v>0.4</v>
      </c>
      <c r="G78" s="153">
        <f>G72</f>
        <v>163.26</v>
      </c>
      <c r="H78" s="170">
        <f>G78*F78</f>
        <v>65.304000000000002</v>
      </c>
      <c r="I78" s="156"/>
    </row>
    <row r="79" spans="1:9" x14ac:dyDescent="0.25">
      <c r="A79" s="300"/>
      <c r="B79" s="300"/>
      <c r="C79" s="300"/>
      <c r="D79" s="300"/>
      <c r="E79" s="300"/>
      <c r="F79" s="300"/>
      <c r="G79" s="301"/>
      <c r="H79" s="59"/>
      <c r="I79" s="59"/>
    </row>
    <row r="80" spans="1:9" x14ac:dyDescent="0.25">
      <c r="A80" s="15"/>
      <c r="B80" s="15"/>
      <c r="C80" s="16" t="s">
        <v>310</v>
      </c>
      <c r="D80" s="18"/>
      <c r="E80" s="18"/>
      <c r="F80" s="31"/>
      <c r="G80" s="31"/>
      <c r="H80" s="31"/>
      <c r="I80" s="31"/>
    </row>
    <row r="81" spans="1:11" ht="78.75" customHeight="1" x14ac:dyDescent="0.25">
      <c r="A81" s="191" t="s">
        <v>305</v>
      </c>
      <c r="B81" s="192">
        <v>87507</v>
      </c>
      <c r="C81" s="193" t="s">
        <v>547</v>
      </c>
      <c r="D81" s="184" t="s">
        <v>4</v>
      </c>
      <c r="E81" s="155">
        <v>2.6</v>
      </c>
      <c r="F81" s="156"/>
      <c r="G81" s="156">
        <f>G72</f>
        <v>163.26</v>
      </c>
      <c r="H81" s="170">
        <f>G81*E81</f>
        <v>424.476</v>
      </c>
      <c r="I81" s="194"/>
      <c r="J81" s="84"/>
      <c r="K81" s="84"/>
    </row>
    <row r="82" spans="1:11" ht="58.5" customHeight="1" x14ac:dyDescent="0.25">
      <c r="A82" s="309" t="s">
        <v>307</v>
      </c>
      <c r="B82" s="310">
        <v>6456</v>
      </c>
      <c r="C82" s="311" t="s">
        <v>346</v>
      </c>
      <c r="D82" s="309" t="s">
        <v>248</v>
      </c>
      <c r="E82" s="175">
        <v>2.6</v>
      </c>
      <c r="F82" s="156">
        <v>0.1</v>
      </c>
      <c r="G82" s="156">
        <v>0.3</v>
      </c>
      <c r="H82" s="156">
        <v>30</v>
      </c>
      <c r="I82" s="156">
        <f>E82*F82*G82*H82</f>
        <v>2.34</v>
      </c>
    </row>
    <row r="83" spans="1:11" ht="58.5" customHeight="1" x14ac:dyDescent="0.25">
      <c r="A83" s="309"/>
      <c r="B83" s="310"/>
      <c r="C83" s="311"/>
      <c r="D83" s="309"/>
      <c r="E83" s="155">
        <v>0.1</v>
      </c>
      <c r="F83" s="156">
        <v>0.2</v>
      </c>
      <c r="G83" s="156">
        <f>G72</f>
        <v>163.26</v>
      </c>
      <c r="H83" s="156">
        <f>E83*F83*G83</f>
        <v>3.2652000000000005</v>
      </c>
      <c r="I83" s="170">
        <f>H83+I82</f>
        <v>5.6052</v>
      </c>
    </row>
    <row r="84" spans="1:11" ht="94.5" x14ac:dyDescent="0.25">
      <c r="A84" s="21" t="s">
        <v>305</v>
      </c>
      <c r="B84" s="19" t="s">
        <v>589</v>
      </c>
      <c r="C84" s="20" t="s">
        <v>590</v>
      </c>
      <c r="D84" s="21" t="s">
        <v>4</v>
      </c>
      <c r="E84" s="155">
        <v>87.65</v>
      </c>
      <c r="F84" s="156">
        <v>57.9</v>
      </c>
      <c r="G84" s="156">
        <f>58.42*2</f>
        <v>116.84</v>
      </c>
      <c r="H84" s="170">
        <f>E84+F84+G84</f>
        <v>262.39</v>
      </c>
      <c r="I84" s="156"/>
    </row>
    <row r="85" spans="1:11" x14ac:dyDescent="0.25">
      <c r="A85" s="300"/>
      <c r="B85" s="300"/>
      <c r="C85" s="300"/>
      <c r="D85" s="300"/>
      <c r="E85" s="300"/>
      <c r="F85" s="300"/>
      <c r="G85" s="301"/>
      <c r="H85" s="59"/>
      <c r="I85" s="59"/>
    </row>
    <row r="86" spans="1:11" x14ac:dyDescent="0.25">
      <c r="A86" s="15"/>
      <c r="B86" s="15"/>
      <c r="C86" s="16" t="s">
        <v>291</v>
      </c>
      <c r="D86" s="18"/>
      <c r="E86" s="18"/>
      <c r="F86" s="31"/>
      <c r="G86" s="31"/>
      <c r="H86" s="31"/>
      <c r="I86" s="31"/>
    </row>
    <row r="87" spans="1:11" ht="94.5" x14ac:dyDescent="0.25">
      <c r="A87" s="137" t="s">
        <v>305</v>
      </c>
      <c r="B87" s="140">
        <v>98546</v>
      </c>
      <c r="C87" s="73" t="s">
        <v>363</v>
      </c>
      <c r="D87" s="137" t="s">
        <v>4</v>
      </c>
      <c r="E87" s="155"/>
      <c r="F87" s="156"/>
      <c r="G87" s="156"/>
      <c r="H87" s="170">
        <f>H84</f>
        <v>262.39</v>
      </c>
      <c r="I87" s="156"/>
    </row>
    <row r="88" spans="1:11" ht="78.75" x14ac:dyDescent="0.25">
      <c r="A88" s="137" t="s">
        <v>305</v>
      </c>
      <c r="B88" s="140">
        <v>98563</v>
      </c>
      <c r="C88" s="73" t="s">
        <v>364</v>
      </c>
      <c r="D88" s="137" t="s">
        <v>4</v>
      </c>
      <c r="E88" s="155"/>
      <c r="F88" s="156"/>
      <c r="G88" s="156"/>
      <c r="H88" s="170">
        <f>H84</f>
        <v>262.39</v>
      </c>
      <c r="I88" s="156"/>
    </row>
    <row r="89" spans="1:11" x14ac:dyDescent="0.25">
      <c r="A89" s="300"/>
      <c r="B89" s="300"/>
      <c r="C89" s="300"/>
      <c r="D89" s="300"/>
      <c r="E89" s="300"/>
      <c r="F89" s="300"/>
      <c r="G89" s="301"/>
      <c r="H89" s="59"/>
      <c r="I89" s="59"/>
    </row>
    <row r="90" spans="1:11" x14ac:dyDescent="0.25">
      <c r="A90" s="15"/>
      <c r="B90" s="15"/>
      <c r="C90" s="81" t="s">
        <v>293</v>
      </c>
      <c r="D90" s="18"/>
      <c r="E90" s="18"/>
      <c r="F90" s="31"/>
      <c r="G90" s="31"/>
      <c r="H90" s="31"/>
      <c r="I90" s="31"/>
    </row>
    <row r="91" spans="1:11" ht="63" x14ac:dyDescent="0.25">
      <c r="A91" s="137" t="s">
        <v>305</v>
      </c>
      <c r="B91" s="146">
        <v>83534</v>
      </c>
      <c r="C91" s="147" t="s">
        <v>555</v>
      </c>
      <c r="D91" s="148" t="s">
        <v>248</v>
      </c>
      <c r="E91" s="155">
        <v>7.0000000000000007E-2</v>
      </c>
      <c r="F91" s="156"/>
      <c r="G91" s="156">
        <f>H88</f>
        <v>262.39</v>
      </c>
      <c r="H91" s="170">
        <f>E91*G91</f>
        <v>18.3673</v>
      </c>
      <c r="I91" s="156"/>
    </row>
    <row r="92" spans="1:11" ht="78.75" x14ac:dyDescent="0.25">
      <c r="A92" s="137" t="s">
        <v>305</v>
      </c>
      <c r="B92" s="146">
        <v>72136</v>
      </c>
      <c r="C92" s="147" t="s">
        <v>554</v>
      </c>
      <c r="D92" s="148" t="s">
        <v>4</v>
      </c>
      <c r="E92" s="155"/>
      <c r="F92" s="156"/>
      <c r="G92" s="156"/>
      <c r="H92" s="170">
        <f>G91</f>
        <v>262.39</v>
      </c>
      <c r="I92" s="156"/>
    </row>
    <row r="93" spans="1:11" ht="78.75" x14ac:dyDescent="0.25">
      <c r="A93" s="137" t="s">
        <v>305</v>
      </c>
      <c r="B93" s="146">
        <v>92396</v>
      </c>
      <c r="C93" s="147" t="s">
        <v>372</v>
      </c>
      <c r="D93" s="148" t="s">
        <v>4</v>
      </c>
      <c r="E93" s="155"/>
      <c r="F93" s="156"/>
      <c r="G93" s="156"/>
      <c r="H93" s="170">
        <f>3173-595</f>
        <v>2578</v>
      </c>
      <c r="I93" s="156"/>
    </row>
    <row r="94" spans="1:11" x14ac:dyDescent="0.25">
      <c r="A94" s="300"/>
      <c r="B94" s="300"/>
      <c r="C94" s="302"/>
      <c r="D94" s="300"/>
      <c r="E94" s="300"/>
      <c r="F94" s="300"/>
      <c r="G94" s="301"/>
      <c r="H94" s="59"/>
      <c r="I94" s="59"/>
    </row>
    <row r="95" spans="1:11" x14ac:dyDescent="0.25">
      <c r="A95" s="15"/>
      <c r="B95" s="15"/>
      <c r="C95" s="81" t="s">
        <v>283</v>
      </c>
      <c r="D95" s="18"/>
      <c r="E95" s="18"/>
      <c r="F95" s="31"/>
      <c r="G95" s="31"/>
      <c r="H95" s="31"/>
      <c r="I95" s="31"/>
    </row>
    <row r="96" spans="1:11" ht="126" x14ac:dyDescent="0.25">
      <c r="A96" s="21" t="s">
        <v>305</v>
      </c>
      <c r="B96" s="19">
        <v>87893</v>
      </c>
      <c r="C96" s="20" t="s">
        <v>548</v>
      </c>
      <c r="D96" s="21" t="s">
        <v>4</v>
      </c>
      <c r="E96" s="157"/>
      <c r="F96" s="153"/>
      <c r="G96" s="153"/>
      <c r="H96" s="170">
        <f>H81*2</f>
        <v>848.952</v>
      </c>
      <c r="I96" s="156"/>
    </row>
    <row r="97" spans="1:12" ht="157.5" x14ac:dyDescent="0.25">
      <c r="A97" s="21" t="s">
        <v>305</v>
      </c>
      <c r="B97" s="19">
        <v>87529</v>
      </c>
      <c r="C97" s="20" t="s">
        <v>549</v>
      </c>
      <c r="D97" s="21" t="s">
        <v>4</v>
      </c>
      <c r="E97" s="157"/>
      <c r="F97" s="153"/>
      <c r="G97" s="153"/>
      <c r="H97" s="170">
        <f>H96</f>
        <v>848.952</v>
      </c>
      <c r="I97" s="156"/>
      <c r="K97" s="84"/>
      <c r="L97" s="84"/>
    </row>
    <row r="98" spans="1:12" ht="157.5" x14ac:dyDescent="0.25">
      <c r="A98" s="137" t="s">
        <v>305</v>
      </c>
      <c r="B98" s="140">
        <v>89045</v>
      </c>
      <c r="C98" s="176" t="s">
        <v>609</v>
      </c>
      <c r="D98" s="137" t="s">
        <v>4</v>
      </c>
      <c r="E98" s="157">
        <v>2.6</v>
      </c>
      <c r="F98" s="153"/>
      <c r="G98" s="153">
        <f>34+60</f>
        <v>94</v>
      </c>
      <c r="H98" s="170">
        <f>G98*E98</f>
        <v>244.4</v>
      </c>
      <c r="I98" s="156"/>
      <c r="K98" s="84"/>
      <c r="L98" s="84"/>
    </row>
    <row r="99" spans="1:12" x14ac:dyDescent="0.25">
      <c r="A99" s="300"/>
      <c r="B99" s="300"/>
      <c r="C99" s="302"/>
      <c r="D99" s="300"/>
      <c r="E99" s="300"/>
      <c r="F99" s="300"/>
      <c r="G99" s="301"/>
      <c r="H99" s="59"/>
      <c r="I99" s="59"/>
    </row>
    <row r="100" spans="1:12" x14ac:dyDescent="0.25">
      <c r="A100" s="15"/>
      <c r="B100" s="15"/>
      <c r="C100" s="16" t="s">
        <v>9</v>
      </c>
      <c r="D100" s="18"/>
      <c r="E100" s="18"/>
      <c r="F100" s="31"/>
      <c r="G100" s="31"/>
      <c r="H100" s="31"/>
      <c r="I100" s="31"/>
    </row>
    <row r="101" spans="1:12" ht="63" x14ac:dyDescent="0.25">
      <c r="A101" s="137" t="s">
        <v>305</v>
      </c>
      <c r="B101" s="146">
        <v>88489</v>
      </c>
      <c r="C101" s="147" t="s">
        <v>365</v>
      </c>
      <c r="D101" s="148" t="s">
        <v>4</v>
      </c>
      <c r="E101" s="155"/>
      <c r="F101" s="156"/>
      <c r="G101" s="156"/>
      <c r="H101" s="170">
        <f>H81-H98</f>
        <v>180.07599999999999</v>
      </c>
      <c r="I101" s="156"/>
    </row>
    <row r="102" spans="1:12" ht="47.25" x14ac:dyDescent="0.25">
      <c r="A102" s="137" t="s">
        <v>305</v>
      </c>
      <c r="B102" s="146">
        <v>88488</v>
      </c>
      <c r="C102" s="147" t="s">
        <v>366</v>
      </c>
      <c r="D102" s="148" t="s">
        <v>4</v>
      </c>
      <c r="E102" s="155"/>
      <c r="F102" s="156"/>
      <c r="G102" s="156"/>
      <c r="H102" s="170">
        <f>H84</f>
        <v>262.39</v>
      </c>
      <c r="I102" s="156"/>
    </row>
    <row r="103" spans="1:12" ht="47.25" x14ac:dyDescent="0.25">
      <c r="A103" s="137" t="s">
        <v>305</v>
      </c>
      <c r="B103" s="140">
        <v>95305</v>
      </c>
      <c r="C103" s="173" t="s">
        <v>323</v>
      </c>
      <c r="D103" s="137" t="s">
        <v>4</v>
      </c>
      <c r="E103" s="155"/>
      <c r="F103" s="156"/>
      <c r="G103" s="156"/>
      <c r="H103" s="170">
        <f>H81</f>
        <v>424.476</v>
      </c>
      <c r="I103" s="156"/>
    </row>
    <row r="104" spans="1:12" x14ac:dyDescent="0.25">
      <c r="A104" s="300"/>
      <c r="B104" s="300"/>
      <c r="C104" s="302"/>
      <c r="D104" s="300"/>
      <c r="E104" s="300"/>
      <c r="F104" s="300"/>
      <c r="G104" s="301"/>
      <c r="H104" s="59"/>
      <c r="I104" s="59"/>
    </row>
    <row r="105" spans="1:12" x14ac:dyDescent="0.25">
      <c r="A105" s="15"/>
      <c r="B105" s="15"/>
      <c r="C105" s="81" t="s">
        <v>289</v>
      </c>
      <c r="D105" s="18"/>
      <c r="E105" s="18"/>
      <c r="F105" s="31"/>
      <c r="G105" s="31"/>
      <c r="H105" s="31"/>
      <c r="I105" s="31"/>
    </row>
    <row r="106" spans="1:12" ht="78.75" x14ac:dyDescent="0.25">
      <c r="A106" s="181" t="s">
        <v>305</v>
      </c>
      <c r="B106" s="146">
        <v>91341</v>
      </c>
      <c r="C106" s="147" t="s">
        <v>659</v>
      </c>
      <c r="D106" s="148" t="s">
        <v>290</v>
      </c>
      <c r="E106" s="157"/>
      <c r="F106" s="153"/>
      <c r="G106" s="153"/>
      <c r="H106" s="170">
        <v>11</v>
      </c>
      <c r="I106" s="153"/>
    </row>
    <row r="107" spans="1:12" ht="94.5" x14ac:dyDescent="0.25">
      <c r="A107" s="181" t="s">
        <v>305</v>
      </c>
      <c r="B107" s="182">
        <v>94570</v>
      </c>
      <c r="C107" s="73" t="s">
        <v>373</v>
      </c>
      <c r="D107" s="181" t="s">
        <v>4</v>
      </c>
      <c r="E107" s="157">
        <f>0.6*0.6*4</f>
        <v>1.44</v>
      </c>
      <c r="F107" s="153">
        <f>6*0.6*0.4</f>
        <v>1.44</v>
      </c>
      <c r="G107" s="153"/>
      <c r="H107" s="170">
        <f>E107+F107</f>
        <v>2.88</v>
      </c>
      <c r="I107" s="153"/>
    </row>
    <row r="108" spans="1:12" ht="63" x14ac:dyDescent="0.25">
      <c r="A108" s="21" t="s">
        <v>307</v>
      </c>
      <c r="B108" s="146">
        <v>3625</v>
      </c>
      <c r="C108" s="73" t="s">
        <v>658</v>
      </c>
      <c r="D108" s="148" t="s">
        <v>610</v>
      </c>
      <c r="E108" s="157"/>
      <c r="F108" s="153"/>
      <c r="G108" s="153"/>
      <c r="H108" s="170">
        <v>13</v>
      </c>
      <c r="I108" s="153"/>
    </row>
    <row r="109" spans="1:12" ht="47.25" x14ac:dyDescent="0.25">
      <c r="A109" s="21" t="s">
        <v>305</v>
      </c>
      <c r="B109" s="79">
        <v>93184</v>
      </c>
      <c r="C109" s="82" t="s">
        <v>370</v>
      </c>
      <c r="D109" s="80" t="s">
        <v>120</v>
      </c>
      <c r="E109" s="157"/>
      <c r="F109" s="153"/>
      <c r="G109" s="153">
        <v>11</v>
      </c>
      <c r="H109" s="170">
        <f>G109*1.5</f>
        <v>16.5</v>
      </c>
      <c r="I109" s="153"/>
    </row>
    <row r="110" spans="1:12" ht="47.25" x14ac:dyDescent="0.25">
      <c r="A110" s="21" t="s">
        <v>305</v>
      </c>
      <c r="B110" s="79">
        <v>93183</v>
      </c>
      <c r="C110" s="82" t="s">
        <v>371</v>
      </c>
      <c r="D110" s="80" t="s">
        <v>120</v>
      </c>
      <c r="E110" s="157"/>
      <c r="F110" s="153"/>
      <c r="G110" s="153">
        <f>1.2*4</f>
        <v>4.8</v>
      </c>
      <c r="H110" s="170">
        <f>G110</f>
        <v>4.8</v>
      </c>
      <c r="I110" s="153"/>
    </row>
    <row r="111" spans="1:12" x14ac:dyDescent="0.25">
      <c r="A111" s="300"/>
      <c r="B111" s="300"/>
      <c r="C111" s="302"/>
      <c r="D111" s="300"/>
      <c r="E111" s="300"/>
      <c r="F111" s="300"/>
      <c r="G111" s="301"/>
      <c r="H111" s="59"/>
      <c r="I111" s="59"/>
    </row>
    <row r="112" spans="1:12" x14ac:dyDescent="0.25">
      <c r="A112" s="15"/>
      <c r="B112" s="15"/>
      <c r="C112" s="83" t="s">
        <v>292</v>
      </c>
      <c r="D112" s="18"/>
      <c r="E112" s="18"/>
      <c r="F112" s="31"/>
      <c r="G112" s="31"/>
      <c r="H112" s="31"/>
      <c r="I112" s="31"/>
    </row>
    <row r="113" spans="1:9" ht="98.25" customHeight="1" x14ac:dyDescent="0.25">
      <c r="A113" s="21" t="s">
        <v>305</v>
      </c>
      <c r="B113" s="79">
        <v>93141</v>
      </c>
      <c r="C113" s="82" t="s">
        <v>367</v>
      </c>
      <c r="D113" s="80" t="s">
        <v>290</v>
      </c>
      <c r="E113" s="157"/>
      <c r="F113" s="153"/>
      <c r="G113" s="153"/>
      <c r="H113" s="170">
        <v>10</v>
      </c>
      <c r="I113" s="153"/>
    </row>
    <row r="114" spans="1:9" ht="126" x14ac:dyDescent="0.25">
      <c r="A114" s="21" t="s">
        <v>305</v>
      </c>
      <c r="B114" s="79">
        <v>93128</v>
      </c>
      <c r="C114" s="82" t="s">
        <v>368</v>
      </c>
      <c r="D114" s="80" t="s">
        <v>290</v>
      </c>
      <c r="E114" s="157"/>
      <c r="F114" s="153"/>
      <c r="G114" s="153"/>
      <c r="H114" s="170">
        <v>28</v>
      </c>
      <c r="I114" s="153"/>
    </row>
    <row r="115" spans="1:9" ht="78.75" x14ac:dyDescent="0.25">
      <c r="A115" s="137" t="s">
        <v>305</v>
      </c>
      <c r="B115" s="146">
        <v>97585</v>
      </c>
      <c r="C115" s="147" t="s">
        <v>611</v>
      </c>
      <c r="D115" s="148" t="s">
        <v>290</v>
      </c>
      <c r="E115" s="157"/>
      <c r="F115" s="153"/>
      <c r="G115" s="153"/>
      <c r="H115" s="170">
        <v>28</v>
      </c>
      <c r="I115" s="153"/>
    </row>
    <row r="116" spans="1:9" ht="78.75" x14ac:dyDescent="0.25">
      <c r="A116" s="137" t="s">
        <v>305</v>
      </c>
      <c r="B116" s="140">
        <v>92982</v>
      </c>
      <c r="C116" s="147" t="s">
        <v>613</v>
      </c>
      <c r="D116" s="137" t="s">
        <v>120</v>
      </c>
      <c r="E116" s="157"/>
      <c r="F116" s="153"/>
      <c r="G116" s="153"/>
      <c r="H116" s="170">
        <f>4*14.58</f>
        <v>58.32</v>
      </c>
      <c r="I116" s="153"/>
    </row>
    <row r="117" spans="1:9" ht="78.75" x14ac:dyDescent="0.25">
      <c r="A117" s="137" t="s">
        <v>305</v>
      </c>
      <c r="B117" s="140">
        <v>92979</v>
      </c>
      <c r="C117" s="147" t="s">
        <v>612</v>
      </c>
      <c r="D117" s="137" t="s">
        <v>120</v>
      </c>
      <c r="E117" s="157"/>
      <c r="F117" s="153"/>
      <c r="G117" s="153"/>
      <c r="H117" s="170">
        <f>(16.18+64.97)*5</f>
        <v>405.75</v>
      </c>
      <c r="I117" s="153"/>
    </row>
    <row r="118" spans="1:9" ht="78.75" x14ac:dyDescent="0.25">
      <c r="A118" s="137" t="s">
        <v>305</v>
      </c>
      <c r="B118" s="140">
        <v>91928</v>
      </c>
      <c r="C118" s="147" t="s">
        <v>614</v>
      </c>
      <c r="D118" s="137" t="s">
        <v>120</v>
      </c>
      <c r="E118" s="157"/>
      <c r="F118" s="153"/>
      <c r="G118" s="153"/>
      <c r="H118" s="170">
        <f>3*(25.45+34.3+9.36)</f>
        <v>207.32999999999998</v>
      </c>
      <c r="I118" s="153"/>
    </row>
    <row r="119" spans="1:9" ht="126" x14ac:dyDescent="0.25">
      <c r="A119" s="137" t="s">
        <v>305</v>
      </c>
      <c r="B119" s="140" t="s">
        <v>616</v>
      </c>
      <c r="C119" s="147" t="s">
        <v>615</v>
      </c>
      <c r="D119" s="137" t="s">
        <v>5</v>
      </c>
      <c r="E119" s="157"/>
      <c r="F119" s="153"/>
      <c r="G119" s="153"/>
      <c r="H119" s="170">
        <v>2</v>
      </c>
      <c r="I119" s="153"/>
    </row>
    <row r="120" spans="1:9" ht="63" x14ac:dyDescent="0.25">
      <c r="A120" s="137" t="s">
        <v>305</v>
      </c>
      <c r="B120" s="174">
        <v>93653</v>
      </c>
      <c r="C120" s="147" t="s">
        <v>617</v>
      </c>
      <c r="D120" s="137" t="s">
        <v>5</v>
      </c>
      <c r="E120" s="157"/>
      <c r="F120" s="153"/>
      <c r="G120" s="153"/>
      <c r="H120" s="170">
        <v>2</v>
      </c>
      <c r="I120" s="153"/>
    </row>
    <row r="121" spans="1:9" ht="63" x14ac:dyDescent="0.25">
      <c r="A121" s="137" t="s">
        <v>305</v>
      </c>
      <c r="B121" s="146">
        <v>93654</v>
      </c>
      <c r="C121" s="147" t="s">
        <v>618</v>
      </c>
      <c r="D121" s="137" t="s">
        <v>5</v>
      </c>
      <c r="E121" s="157"/>
      <c r="F121" s="153"/>
      <c r="G121" s="153"/>
      <c r="H121" s="170">
        <v>2</v>
      </c>
      <c r="I121" s="153"/>
    </row>
    <row r="122" spans="1:9" ht="63" x14ac:dyDescent="0.25">
      <c r="A122" s="137" t="s">
        <v>305</v>
      </c>
      <c r="B122" s="146">
        <v>93655</v>
      </c>
      <c r="C122" s="147" t="s">
        <v>619</v>
      </c>
      <c r="D122" s="137" t="s">
        <v>5</v>
      </c>
      <c r="E122" s="157"/>
      <c r="F122" s="153"/>
      <c r="G122" s="153"/>
      <c r="H122" s="170">
        <v>2</v>
      </c>
      <c r="I122" s="153"/>
    </row>
    <row r="123" spans="1:9" ht="63" x14ac:dyDescent="0.25">
      <c r="A123" s="137" t="s">
        <v>305</v>
      </c>
      <c r="B123" s="146" t="s">
        <v>621</v>
      </c>
      <c r="C123" s="147" t="s">
        <v>620</v>
      </c>
      <c r="D123" s="137" t="s">
        <v>5</v>
      </c>
      <c r="E123" s="157"/>
      <c r="F123" s="153"/>
      <c r="G123" s="153"/>
      <c r="H123" s="170">
        <v>2</v>
      </c>
      <c r="I123" s="153"/>
    </row>
    <row r="124" spans="1:9" x14ac:dyDescent="0.25">
      <c r="A124" s="15"/>
      <c r="B124" s="15"/>
      <c r="C124" s="83" t="s">
        <v>569</v>
      </c>
      <c r="D124" s="18"/>
      <c r="E124" s="31"/>
      <c r="F124" s="31"/>
      <c r="G124" s="31"/>
      <c r="H124" s="18"/>
      <c r="I124" s="31"/>
    </row>
    <row r="125" spans="1:9" ht="31.5" x14ac:dyDescent="0.25">
      <c r="A125" s="21" t="s">
        <v>305</v>
      </c>
      <c r="B125" s="19">
        <v>6149</v>
      </c>
      <c r="C125" s="20" t="s">
        <v>570</v>
      </c>
      <c r="D125" s="137" t="s">
        <v>37</v>
      </c>
      <c r="E125" s="23"/>
      <c r="F125" s="23"/>
      <c r="G125" s="23"/>
      <c r="H125" s="195">
        <v>22</v>
      </c>
      <c r="I125" s="153"/>
    </row>
    <row r="126" spans="1:9" ht="110.25" x14ac:dyDescent="0.25">
      <c r="A126" s="137" t="s">
        <v>305</v>
      </c>
      <c r="B126" s="140">
        <v>89957</v>
      </c>
      <c r="C126" s="73" t="s">
        <v>622</v>
      </c>
      <c r="D126" s="21" t="s">
        <v>571</v>
      </c>
      <c r="E126" s="23"/>
      <c r="F126" s="23"/>
      <c r="G126" s="23"/>
      <c r="H126" s="195">
        <v>56</v>
      </c>
      <c r="I126" s="153"/>
    </row>
    <row r="127" spans="1:9" ht="31.5" x14ac:dyDescent="0.25">
      <c r="A127" s="21" t="s">
        <v>307</v>
      </c>
      <c r="B127" s="19">
        <v>1679</v>
      </c>
      <c r="C127" s="20" t="s">
        <v>623</v>
      </c>
      <c r="D127" s="21" t="s">
        <v>571</v>
      </c>
      <c r="E127" s="23"/>
      <c r="F127" s="23"/>
      <c r="G127" s="23"/>
      <c r="H127" s="195">
        <v>33</v>
      </c>
      <c r="I127" s="153"/>
    </row>
    <row r="128" spans="1:9" ht="31.5" x14ac:dyDescent="0.25">
      <c r="A128" s="21" t="s">
        <v>307</v>
      </c>
      <c r="B128" s="19">
        <v>1678</v>
      </c>
      <c r="C128" s="20" t="s">
        <v>625</v>
      </c>
      <c r="D128" s="21" t="s">
        <v>571</v>
      </c>
      <c r="E128" s="23"/>
      <c r="F128" s="23"/>
      <c r="G128" s="23"/>
      <c r="H128" s="195">
        <v>8</v>
      </c>
      <c r="I128" s="153"/>
    </row>
    <row r="129" spans="1:9" ht="31.5" x14ac:dyDescent="0.25">
      <c r="A129" s="21" t="s">
        <v>307</v>
      </c>
      <c r="B129" s="19">
        <v>1683</v>
      </c>
      <c r="C129" s="20" t="s">
        <v>624</v>
      </c>
      <c r="D129" s="21" t="s">
        <v>571</v>
      </c>
      <c r="E129" s="23"/>
      <c r="F129" s="23"/>
      <c r="G129" s="23"/>
      <c r="H129" s="195">
        <v>13</v>
      </c>
      <c r="I129" s="153"/>
    </row>
    <row r="130" spans="1:9" ht="126" x14ac:dyDescent="0.25">
      <c r="A130" s="137" t="s">
        <v>305</v>
      </c>
      <c r="B130" s="19">
        <v>90694</v>
      </c>
      <c r="C130" s="20" t="s">
        <v>631</v>
      </c>
      <c r="D130" s="21" t="s">
        <v>120</v>
      </c>
      <c r="E130" s="23"/>
      <c r="F130" s="23"/>
      <c r="G130" s="23"/>
      <c r="H130" s="195">
        <v>225</v>
      </c>
      <c r="I130" s="153"/>
    </row>
    <row r="131" spans="1:9" ht="31.5" x14ac:dyDescent="0.25">
      <c r="A131" s="137" t="s">
        <v>305</v>
      </c>
      <c r="B131" s="140">
        <v>88503</v>
      </c>
      <c r="C131" s="73" t="s">
        <v>626</v>
      </c>
      <c r="D131" s="137" t="s">
        <v>37</v>
      </c>
      <c r="E131" s="23"/>
      <c r="F131" s="23"/>
      <c r="G131" s="23"/>
      <c r="H131" s="195"/>
      <c r="I131" s="153"/>
    </row>
    <row r="132" spans="1:9" ht="94.5" x14ac:dyDescent="0.25">
      <c r="A132" s="21" t="s">
        <v>305</v>
      </c>
      <c r="B132" s="19">
        <v>729</v>
      </c>
      <c r="C132" s="20" t="s">
        <v>572</v>
      </c>
      <c r="D132" s="137" t="s">
        <v>37</v>
      </c>
      <c r="E132" s="23"/>
      <c r="F132" s="23"/>
      <c r="G132" s="23"/>
      <c r="H132" s="195">
        <v>1</v>
      </c>
      <c r="I132" s="153"/>
    </row>
    <row r="133" spans="1:9" ht="31.5" x14ac:dyDescent="0.25">
      <c r="A133" s="21" t="s">
        <v>311</v>
      </c>
      <c r="B133" s="19">
        <v>8</v>
      </c>
      <c r="C133" s="20" t="s">
        <v>582</v>
      </c>
      <c r="D133" s="137" t="s">
        <v>37</v>
      </c>
      <c r="E133" s="23"/>
      <c r="F133" s="23"/>
      <c r="G133" s="23"/>
      <c r="H133" s="195">
        <v>1</v>
      </c>
      <c r="I133" s="153"/>
    </row>
    <row r="134" spans="1:9" ht="47.25" x14ac:dyDescent="0.25">
      <c r="A134" s="21" t="s">
        <v>305</v>
      </c>
      <c r="B134" s="19">
        <v>93358</v>
      </c>
      <c r="C134" s="20" t="s">
        <v>317</v>
      </c>
      <c r="D134" s="21" t="s">
        <v>248</v>
      </c>
      <c r="E134" s="153"/>
      <c r="F134" s="153"/>
      <c r="G134" s="153"/>
      <c r="H134" s="196">
        <f>E134*F134*G134</f>
        <v>0</v>
      </c>
      <c r="I134" s="153"/>
    </row>
    <row r="135" spans="1:9" ht="157.5" x14ac:dyDescent="0.25">
      <c r="A135" s="21" t="s">
        <v>305</v>
      </c>
      <c r="B135" s="19">
        <v>90087</v>
      </c>
      <c r="C135" s="20" t="s">
        <v>630</v>
      </c>
      <c r="D135" s="21" t="s">
        <v>248</v>
      </c>
      <c r="E135" s="177"/>
      <c r="F135" s="177"/>
      <c r="G135" s="162" t="s">
        <v>584</v>
      </c>
      <c r="H135" s="195">
        <f>(0.1*0.2*162.21)+(1*1.5*15*3)</f>
        <v>70.744200000000006</v>
      </c>
      <c r="I135" s="153"/>
    </row>
    <row r="136" spans="1:9" ht="141.75" x14ac:dyDescent="0.25">
      <c r="A136" s="21" t="s">
        <v>305</v>
      </c>
      <c r="B136" s="19">
        <v>9868</v>
      </c>
      <c r="C136" s="20" t="s">
        <v>627</v>
      </c>
      <c r="D136" s="137" t="s">
        <v>120</v>
      </c>
      <c r="E136" s="23"/>
      <c r="F136" s="23"/>
      <c r="G136" s="23" t="s">
        <v>583</v>
      </c>
      <c r="H136" s="195">
        <v>162.21</v>
      </c>
      <c r="I136" s="153"/>
    </row>
    <row r="137" spans="1:9" ht="110.25" x14ac:dyDescent="0.25">
      <c r="A137" s="137" t="s">
        <v>305</v>
      </c>
      <c r="B137" s="140">
        <v>98093</v>
      </c>
      <c r="C137" s="73" t="s">
        <v>628</v>
      </c>
      <c r="D137" s="137" t="s">
        <v>37</v>
      </c>
      <c r="E137" s="23"/>
      <c r="F137" s="23"/>
      <c r="G137" s="23"/>
      <c r="H137" s="195">
        <v>1</v>
      </c>
      <c r="I137" s="153"/>
    </row>
    <row r="138" spans="1:9" ht="94.5" x14ac:dyDescent="0.25">
      <c r="A138" s="137" t="s">
        <v>305</v>
      </c>
      <c r="B138" s="140">
        <v>98085</v>
      </c>
      <c r="C138" s="73" t="s">
        <v>629</v>
      </c>
      <c r="D138" s="137" t="s">
        <v>37</v>
      </c>
      <c r="E138" s="23"/>
      <c r="F138" s="23"/>
      <c r="G138" s="23"/>
      <c r="H138" s="195">
        <v>1</v>
      </c>
      <c r="I138" s="153"/>
    </row>
    <row r="139" spans="1:9" ht="31.5" x14ac:dyDescent="0.25">
      <c r="A139" s="21" t="s">
        <v>305</v>
      </c>
      <c r="B139" s="19">
        <v>83665</v>
      </c>
      <c r="C139" s="73" t="s">
        <v>528</v>
      </c>
      <c r="D139" s="21" t="s">
        <v>4</v>
      </c>
      <c r="E139" s="23"/>
      <c r="F139" s="23"/>
      <c r="G139" s="23"/>
      <c r="H139" s="195">
        <v>46.56</v>
      </c>
      <c r="I139" s="153"/>
    </row>
    <row r="140" spans="1:9" ht="31.5" x14ac:dyDescent="0.25">
      <c r="A140" s="21" t="s">
        <v>305</v>
      </c>
      <c r="B140" s="19">
        <v>83668</v>
      </c>
      <c r="C140" s="20" t="s">
        <v>349</v>
      </c>
      <c r="D140" s="21" t="s">
        <v>248</v>
      </c>
      <c r="E140" s="23"/>
      <c r="F140" s="23"/>
      <c r="G140" s="23"/>
      <c r="H140" s="195">
        <f>3*15*1*1</f>
        <v>45</v>
      </c>
      <c r="I140" s="153"/>
    </row>
    <row r="141" spans="1:9" ht="31.5" x14ac:dyDescent="0.25">
      <c r="A141" s="137" t="s">
        <v>311</v>
      </c>
      <c r="B141" s="140">
        <v>2</v>
      </c>
      <c r="C141" s="73" t="s">
        <v>530</v>
      </c>
      <c r="D141" s="137" t="s">
        <v>120</v>
      </c>
      <c r="E141" s="23"/>
      <c r="F141" s="23"/>
      <c r="G141" s="23"/>
      <c r="H141" s="195">
        <f>15*3</f>
        <v>45</v>
      </c>
      <c r="I141" s="153"/>
    </row>
    <row r="142" spans="1:9" x14ac:dyDescent="0.25">
      <c r="A142" s="87"/>
      <c r="B142" s="87"/>
      <c r="C142" s="160"/>
      <c r="D142" s="87"/>
      <c r="E142" s="87"/>
      <c r="F142" s="87"/>
      <c r="G142" s="161"/>
      <c r="H142" s="87"/>
      <c r="I142" s="153"/>
    </row>
    <row r="143" spans="1:9" x14ac:dyDescent="0.25">
      <c r="A143" s="15"/>
      <c r="B143" s="15"/>
      <c r="C143" s="83" t="s">
        <v>573</v>
      </c>
      <c r="D143" s="18"/>
      <c r="E143" s="31"/>
      <c r="F143" s="31"/>
      <c r="G143" s="31"/>
      <c r="H143" s="18"/>
      <c r="I143" s="18"/>
    </row>
    <row r="144" spans="1:9" ht="31.5" x14ac:dyDescent="0.25">
      <c r="A144" s="21" t="s">
        <v>307</v>
      </c>
      <c r="B144" s="19">
        <v>2066</v>
      </c>
      <c r="C144" s="20" t="s">
        <v>574</v>
      </c>
      <c r="D144" s="137" t="s">
        <v>37</v>
      </c>
      <c r="E144" s="23"/>
      <c r="F144" s="23"/>
      <c r="G144" s="23"/>
      <c r="H144" s="195">
        <v>13</v>
      </c>
      <c r="I144" s="153"/>
    </row>
    <row r="145" spans="1:11" ht="47.25" x14ac:dyDescent="0.25">
      <c r="A145" s="21" t="s">
        <v>305</v>
      </c>
      <c r="B145" s="19">
        <v>95469</v>
      </c>
      <c r="C145" s="20" t="s">
        <v>575</v>
      </c>
      <c r="D145" s="137" t="s">
        <v>37</v>
      </c>
      <c r="E145" s="23"/>
      <c r="F145" s="23"/>
      <c r="G145" s="23"/>
      <c r="H145" s="195">
        <v>13</v>
      </c>
      <c r="I145" s="153"/>
    </row>
    <row r="146" spans="1:11" ht="47.25" x14ac:dyDescent="0.25">
      <c r="A146" s="21" t="s">
        <v>305</v>
      </c>
      <c r="B146" s="19">
        <v>20269</v>
      </c>
      <c r="C146" s="20" t="s">
        <v>576</v>
      </c>
      <c r="D146" s="137" t="s">
        <v>37</v>
      </c>
      <c r="E146" s="23"/>
      <c r="F146" s="23"/>
      <c r="G146" s="23"/>
      <c r="H146" s="195">
        <v>12</v>
      </c>
      <c r="I146" s="153"/>
    </row>
    <row r="147" spans="1:11" ht="47.25" x14ac:dyDescent="0.25">
      <c r="A147" s="21" t="s">
        <v>305</v>
      </c>
      <c r="B147" s="19">
        <v>13415</v>
      </c>
      <c r="C147" s="20" t="s">
        <v>577</v>
      </c>
      <c r="D147" s="137" t="s">
        <v>37</v>
      </c>
      <c r="E147" s="23"/>
      <c r="F147" s="23"/>
      <c r="G147" s="23"/>
      <c r="H147" s="195">
        <v>12</v>
      </c>
      <c r="I147" s="153"/>
    </row>
    <row r="148" spans="1:11" ht="47.25" x14ac:dyDescent="0.25">
      <c r="A148" s="21" t="s">
        <v>305</v>
      </c>
      <c r="B148" s="19">
        <v>11681</v>
      </c>
      <c r="C148" s="20" t="s">
        <v>578</v>
      </c>
      <c r="D148" s="137" t="s">
        <v>37</v>
      </c>
      <c r="E148" s="23"/>
      <c r="F148" s="23"/>
      <c r="G148" s="23"/>
      <c r="H148" s="195">
        <v>12</v>
      </c>
      <c r="I148" s="153"/>
    </row>
    <row r="149" spans="1:11" ht="94.5" x14ac:dyDescent="0.25">
      <c r="A149" s="21" t="s">
        <v>305</v>
      </c>
      <c r="B149" s="19" t="s">
        <v>579</v>
      </c>
      <c r="C149" s="20" t="s">
        <v>580</v>
      </c>
      <c r="D149" s="137" t="s">
        <v>37</v>
      </c>
      <c r="E149" s="23"/>
      <c r="F149" s="23"/>
      <c r="G149" s="23"/>
      <c r="H149" s="195">
        <v>10</v>
      </c>
      <c r="I149" s="153"/>
    </row>
    <row r="150" spans="1:11" x14ac:dyDescent="0.25">
      <c r="A150" s="87"/>
      <c r="B150" s="87"/>
      <c r="C150" s="160"/>
      <c r="D150" s="87"/>
      <c r="E150" s="87"/>
      <c r="F150" s="87"/>
      <c r="G150" s="161"/>
      <c r="H150" s="87"/>
      <c r="I150" s="153"/>
    </row>
    <row r="151" spans="1:11" x14ac:dyDescent="0.25">
      <c r="A151" s="15"/>
      <c r="B151" s="15"/>
      <c r="C151" s="83" t="s">
        <v>3</v>
      </c>
      <c r="D151" s="18"/>
      <c r="E151" s="31"/>
      <c r="F151" s="31"/>
      <c r="G151" s="31"/>
      <c r="H151" s="18"/>
      <c r="I151" s="18"/>
    </row>
    <row r="152" spans="1:11" ht="31.5" x14ac:dyDescent="0.25">
      <c r="A152" s="21" t="s">
        <v>305</v>
      </c>
      <c r="B152" s="19">
        <v>38364</v>
      </c>
      <c r="C152" s="20" t="s">
        <v>581</v>
      </c>
      <c r="D152" s="21" t="s">
        <v>120</v>
      </c>
      <c r="E152" s="23" t="s">
        <v>672</v>
      </c>
      <c r="F152" s="23"/>
      <c r="G152" s="23"/>
      <c r="H152" s="195">
        <f>4*2*2.45*0.5</f>
        <v>9.8000000000000007</v>
      </c>
      <c r="I152" s="153"/>
    </row>
    <row r="153" spans="1:11" ht="47.25" x14ac:dyDescent="0.25">
      <c r="A153" s="21" t="s">
        <v>307</v>
      </c>
      <c r="B153" s="19">
        <v>4458</v>
      </c>
      <c r="C153" s="20" t="s">
        <v>660</v>
      </c>
      <c r="D153" s="21" t="s">
        <v>4</v>
      </c>
      <c r="E153" s="153">
        <v>1.8</v>
      </c>
      <c r="F153" s="153">
        <v>1.3</v>
      </c>
      <c r="G153" s="153">
        <v>11</v>
      </c>
      <c r="H153" s="195">
        <f>E153*F153*G153</f>
        <v>25.740000000000002</v>
      </c>
      <c r="I153" s="153"/>
    </row>
    <row r="154" spans="1:11" x14ac:dyDescent="0.25">
      <c r="A154" s="300"/>
      <c r="B154" s="300"/>
      <c r="C154" s="302"/>
      <c r="D154" s="300"/>
      <c r="E154" s="300"/>
      <c r="F154" s="300"/>
      <c r="G154" s="301"/>
      <c r="H154" s="59"/>
      <c r="I154" s="59"/>
    </row>
    <row r="155" spans="1:11" x14ac:dyDescent="0.25">
      <c r="A155" s="241"/>
      <c r="B155" s="241"/>
      <c r="C155" s="241"/>
      <c r="D155" s="241"/>
      <c r="E155" s="241"/>
      <c r="F155" s="241"/>
      <c r="G155" s="242"/>
      <c r="H155" s="35"/>
      <c r="I155" s="35"/>
    </row>
    <row r="156" spans="1:11" x14ac:dyDescent="0.25">
      <c r="A156" s="14"/>
      <c r="B156" s="15"/>
      <c r="C156" s="16" t="s">
        <v>3</v>
      </c>
      <c r="D156" s="17"/>
      <c r="E156" s="18"/>
      <c r="F156" s="24"/>
      <c r="G156" s="32"/>
      <c r="H156" s="24"/>
      <c r="I156" s="32"/>
    </row>
    <row r="157" spans="1:11" ht="110.25" x14ac:dyDescent="0.25">
      <c r="A157" s="137" t="s">
        <v>311</v>
      </c>
      <c r="B157" s="140">
        <v>1</v>
      </c>
      <c r="C157" s="73" t="s">
        <v>352</v>
      </c>
      <c r="D157" s="137" t="s">
        <v>4</v>
      </c>
      <c r="E157" s="158" t="s">
        <v>566</v>
      </c>
      <c r="F157" s="159" t="s">
        <v>673</v>
      </c>
      <c r="G157" s="159" t="s">
        <v>674</v>
      </c>
      <c r="H157" s="159" t="s">
        <v>675</v>
      </c>
      <c r="I157" s="170">
        <f>(256.34*5)+(64.34*2)</f>
        <v>1410.3799999999999</v>
      </c>
      <c r="K157">
        <f>96+96+64.34</f>
        <v>256.34000000000003</v>
      </c>
    </row>
    <row r="158" spans="1:11" x14ac:dyDescent="0.25">
      <c r="A158" s="21" t="s">
        <v>307</v>
      </c>
      <c r="B158" s="19">
        <v>2431</v>
      </c>
      <c r="C158" s="20" t="s">
        <v>350</v>
      </c>
      <c r="D158" s="21" t="s">
        <v>43</v>
      </c>
      <c r="E158" s="157"/>
      <c r="F158" s="153"/>
      <c r="G158" s="153"/>
      <c r="H158" s="170">
        <v>1</v>
      </c>
      <c r="I158" s="153"/>
    </row>
    <row r="159" spans="1:11" ht="47.25" x14ac:dyDescent="0.25">
      <c r="A159" s="21" t="s">
        <v>307</v>
      </c>
      <c r="B159" s="19">
        <v>2426</v>
      </c>
      <c r="C159" s="20" t="s">
        <v>351</v>
      </c>
      <c r="D159" s="21" t="s">
        <v>43</v>
      </c>
      <c r="E159" s="157"/>
      <c r="F159" s="153"/>
      <c r="G159" s="153"/>
      <c r="H159" s="170">
        <v>1</v>
      </c>
      <c r="I159" s="153"/>
    </row>
    <row r="160" spans="1:11" x14ac:dyDescent="0.25">
      <c r="A160" s="238"/>
      <c r="B160" s="238"/>
      <c r="C160" s="238"/>
      <c r="D160" s="238"/>
      <c r="E160" s="238"/>
      <c r="F160" s="238"/>
      <c r="G160" s="239"/>
      <c r="H160" s="34"/>
      <c r="I160" s="34"/>
    </row>
    <row r="161" spans="1:9" ht="15" x14ac:dyDescent="0.25">
      <c r="A161"/>
      <c r="B161"/>
      <c r="C161"/>
      <c r="D161"/>
      <c r="E161"/>
      <c r="F161"/>
      <c r="G161"/>
      <c r="H161"/>
      <c r="I161"/>
    </row>
    <row r="162" spans="1:9" ht="15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 s="14"/>
      <c r="B163" s="15"/>
      <c r="C163" s="16" t="s">
        <v>593</v>
      </c>
      <c r="D163" s="17"/>
      <c r="E163" s="18"/>
      <c r="F163" s="24"/>
      <c r="G163" s="32"/>
      <c r="H163" s="24"/>
      <c r="I163" s="32"/>
    </row>
    <row r="164" spans="1:9" ht="110.25" x14ac:dyDescent="0.25">
      <c r="A164" s="21" t="s">
        <v>305</v>
      </c>
      <c r="B164" s="19">
        <v>94990</v>
      </c>
      <c r="C164" s="20" t="s">
        <v>594</v>
      </c>
      <c r="D164" s="21" t="s">
        <v>248</v>
      </c>
      <c r="E164" s="39">
        <f>156*1.5</f>
        <v>234</v>
      </c>
      <c r="F164" s="39">
        <v>0.06</v>
      </c>
      <c r="G164" s="159" t="s">
        <v>600</v>
      </c>
      <c r="H164" s="195">
        <f>E164*F164</f>
        <v>14.04</v>
      </c>
      <c r="I164" s="156"/>
    </row>
    <row r="165" spans="1:9" ht="141.75" x14ac:dyDescent="0.25">
      <c r="A165" s="21" t="s">
        <v>305</v>
      </c>
      <c r="B165" s="19">
        <v>94275</v>
      </c>
      <c r="C165" s="20" t="s">
        <v>634</v>
      </c>
      <c r="D165" s="21" t="s">
        <v>120</v>
      </c>
      <c r="E165" s="159"/>
      <c r="F165" s="159"/>
      <c r="G165" s="159"/>
      <c r="H165" s="195">
        <v>156</v>
      </c>
      <c r="I165" s="156"/>
    </row>
    <row r="166" spans="1:9" ht="47.25" x14ac:dyDescent="0.25">
      <c r="A166" s="21" t="s">
        <v>305</v>
      </c>
      <c r="B166" s="19">
        <v>84862</v>
      </c>
      <c r="C166" s="20" t="s">
        <v>595</v>
      </c>
      <c r="D166" s="137" t="s">
        <v>120</v>
      </c>
      <c r="E166" s="159"/>
      <c r="F166" s="159"/>
      <c r="G166" s="159"/>
      <c r="H166" s="22">
        <v>46.599999999999994</v>
      </c>
      <c r="I166" s="156"/>
    </row>
    <row r="168" spans="1:9" x14ac:dyDescent="0.25">
      <c r="A168" s="14"/>
      <c r="B168" s="15"/>
      <c r="C168" s="16" t="s">
        <v>765</v>
      </c>
      <c r="D168" s="17"/>
      <c r="E168" s="18"/>
      <c r="F168" s="24"/>
      <c r="G168" s="32"/>
      <c r="H168" s="24"/>
      <c r="I168" s="32"/>
    </row>
    <row r="169" spans="1:9" x14ac:dyDescent="0.25">
      <c r="A169" s="14"/>
      <c r="B169" s="15"/>
      <c r="C169" s="16" t="s">
        <v>309</v>
      </c>
      <c r="D169" s="17"/>
      <c r="E169" s="18"/>
      <c r="F169" s="18"/>
      <c r="G169" s="18"/>
      <c r="H169" s="31"/>
      <c r="I169" s="33"/>
    </row>
    <row r="170" spans="1:9" ht="47.25" x14ac:dyDescent="0.25">
      <c r="A170" s="21" t="s">
        <v>305</v>
      </c>
      <c r="B170" s="19">
        <v>93358</v>
      </c>
      <c r="C170" s="20" t="s">
        <v>317</v>
      </c>
      <c r="D170" s="21" t="s">
        <v>248</v>
      </c>
      <c r="E170" s="157">
        <v>0.4</v>
      </c>
      <c r="F170" s="40">
        <v>0.4</v>
      </c>
      <c r="G170" s="153">
        <f>69.7*4</f>
        <v>278.8</v>
      </c>
      <c r="H170" s="154"/>
      <c r="I170" s="170">
        <f>E170*F170*G170</f>
        <v>44.608000000000011</v>
      </c>
    </row>
    <row r="171" spans="1:9" ht="63" customHeight="1" x14ac:dyDescent="0.25">
      <c r="A171" s="315" t="s">
        <v>305</v>
      </c>
      <c r="B171" s="319">
        <v>94963</v>
      </c>
      <c r="C171" s="321" t="s">
        <v>344</v>
      </c>
      <c r="D171" s="315" t="s">
        <v>248</v>
      </c>
      <c r="E171" s="155">
        <v>0.4</v>
      </c>
      <c r="F171" s="156">
        <v>0.4</v>
      </c>
      <c r="G171" s="156">
        <f>12*4</f>
        <v>48</v>
      </c>
      <c r="H171" s="159" t="s">
        <v>766</v>
      </c>
      <c r="I171" s="170">
        <f>E171*F171*G171</f>
        <v>7.6800000000000015</v>
      </c>
    </row>
    <row r="172" spans="1:9" x14ac:dyDescent="0.25">
      <c r="A172" s="316"/>
      <c r="B172" s="320"/>
      <c r="C172" s="322"/>
      <c r="D172" s="316"/>
      <c r="E172" s="155">
        <v>0.2</v>
      </c>
      <c r="F172" s="156">
        <v>0.2</v>
      </c>
      <c r="G172" s="156">
        <f>G170</f>
        <v>278.8</v>
      </c>
      <c r="H172" s="156" t="s">
        <v>767</v>
      </c>
      <c r="I172" s="170">
        <f>E172*F172*G172</f>
        <v>11.152000000000003</v>
      </c>
    </row>
    <row r="173" spans="1:9" ht="63" x14ac:dyDescent="0.25">
      <c r="A173" s="185" t="s">
        <v>305</v>
      </c>
      <c r="B173" s="186">
        <v>92873</v>
      </c>
      <c r="C173" s="73" t="s">
        <v>345</v>
      </c>
      <c r="D173" s="185" t="s">
        <v>248</v>
      </c>
      <c r="E173" s="155"/>
      <c r="F173" s="156"/>
      <c r="G173" s="156"/>
      <c r="H173" s="156"/>
      <c r="I173" s="170">
        <f>I171+I172</f>
        <v>18.832000000000004</v>
      </c>
    </row>
    <row r="174" spans="1:9" ht="141.75" x14ac:dyDescent="0.25">
      <c r="A174" s="185" t="s">
        <v>305</v>
      </c>
      <c r="B174" s="186">
        <v>87481</v>
      </c>
      <c r="C174" s="73" t="s">
        <v>546</v>
      </c>
      <c r="D174" s="185" t="s">
        <v>4</v>
      </c>
      <c r="E174" s="157">
        <v>0.2</v>
      </c>
      <c r="F174" s="156"/>
      <c r="G174" s="156">
        <f>G170</f>
        <v>278.8</v>
      </c>
      <c r="H174" s="156"/>
      <c r="I174" s="170">
        <f>E174*G174</f>
        <v>55.760000000000005</v>
      </c>
    </row>
    <row r="175" spans="1:9" x14ac:dyDescent="0.25">
      <c r="A175" s="14"/>
      <c r="B175" s="15"/>
      <c r="C175" s="16" t="s">
        <v>310</v>
      </c>
      <c r="D175" s="17"/>
      <c r="E175" s="18"/>
      <c r="F175" s="18"/>
      <c r="G175" s="32"/>
      <c r="H175" s="31"/>
      <c r="I175" s="33"/>
    </row>
    <row r="176" spans="1:9" ht="141.75" x14ac:dyDescent="0.25">
      <c r="A176" s="185" t="s">
        <v>305</v>
      </c>
      <c r="B176" s="186">
        <v>87507</v>
      </c>
      <c r="C176" s="73" t="s">
        <v>547</v>
      </c>
      <c r="D176" s="185" t="s">
        <v>4</v>
      </c>
      <c r="E176" s="155">
        <f>(4.35*4)+(32*3*2)</f>
        <v>209.4</v>
      </c>
      <c r="F176" s="156">
        <v>4</v>
      </c>
      <c r="G176" s="323" t="s">
        <v>768</v>
      </c>
      <c r="H176" s="324"/>
      <c r="I176" s="170">
        <f>E176*F176</f>
        <v>837.6</v>
      </c>
    </row>
    <row r="177" spans="1:9" ht="110.25" customHeight="1" x14ac:dyDescent="0.25">
      <c r="A177" s="315" t="s">
        <v>307</v>
      </c>
      <c r="B177" s="319">
        <v>6456</v>
      </c>
      <c r="C177" s="317" t="s">
        <v>346</v>
      </c>
      <c r="D177" s="315" t="s">
        <v>248</v>
      </c>
      <c r="E177" s="158" t="s">
        <v>769</v>
      </c>
      <c r="F177" s="159" t="s">
        <v>770</v>
      </c>
      <c r="G177" s="156">
        <f>(4*0.5)+(4*1.5)+(4*3)</f>
        <v>20</v>
      </c>
      <c r="H177" s="156">
        <f>0.06*G177*4</f>
        <v>4.8</v>
      </c>
      <c r="I177" s="170">
        <f>H177+H178</f>
        <v>31.391999999999999</v>
      </c>
    </row>
    <row r="178" spans="1:9" ht="63" x14ac:dyDescent="0.25">
      <c r="A178" s="316"/>
      <c r="B178" s="320"/>
      <c r="C178" s="318"/>
      <c r="D178" s="316"/>
      <c r="E178" s="158" t="s">
        <v>771</v>
      </c>
      <c r="F178" s="159" t="s">
        <v>772</v>
      </c>
      <c r="G178" s="156">
        <f>(3.7*4)+(3*32)</f>
        <v>110.8</v>
      </c>
      <c r="H178" s="156">
        <f>0.06*G178*4</f>
        <v>26.591999999999999</v>
      </c>
      <c r="I178" s="156"/>
    </row>
    <row r="179" spans="1:9" ht="94.5" x14ac:dyDescent="0.25">
      <c r="A179" s="21" t="s">
        <v>305</v>
      </c>
      <c r="B179" s="19" t="s">
        <v>589</v>
      </c>
      <c r="C179" s="20" t="s">
        <v>590</v>
      </c>
      <c r="D179" s="21" t="s">
        <v>4</v>
      </c>
      <c r="E179" s="157">
        <v>148.80000000000001</v>
      </c>
      <c r="F179" s="153" t="s">
        <v>773</v>
      </c>
      <c r="G179" s="153"/>
      <c r="H179" s="154"/>
      <c r="I179" s="170">
        <f>E179*4</f>
        <v>595.20000000000005</v>
      </c>
    </row>
    <row r="180" spans="1:9" x14ac:dyDescent="0.25">
      <c r="A180" s="14"/>
      <c r="B180" s="15"/>
      <c r="C180" s="16" t="s">
        <v>283</v>
      </c>
      <c r="D180" s="17"/>
      <c r="E180" s="18"/>
      <c r="F180" s="18"/>
      <c r="G180" s="32"/>
      <c r="H180" s="31"/>
      <c r="I180" s="33"/>
    </row>
    <row r="181" spans="1:9" ht="126" x14ac:dyDescent="0.25">
      <c r="A181" s="21" t="s">
        <v>305</v>
      </c>
      <c r="B181" s="19">
        <v>87894</v>
      </c>
      <c r="C181" s="20" t="s">
        <v>548</v>
      </c>
      <c r="D181" s="21" t="s">
        <v>4</v>
      </c>
      <c r="E181" s="157">
        <v>4.3499999999999996</v>
      </c>
      <c r="F181" s="153">
        <v>2</v>
      </c>
      <c r="G181" s="153">
        <f>32*3</f>
        <v>96</v>
      </c>
      <c r="H181" s="154">
        <v>2</v>
      </c>
      <c r="I181" s="170">
        <f>((E181*F181)+(G181*H181))*4</f>
        <v>802.8</v>
      </c>
    </row>
    <row r="182" spans="1:9" ht="157.5" x14ac:dyDescent="0.25">
      <c r="A182" s="185" t="s">
        <v>305</v>
      </c>
      <c r="B182" s="186">
        <v>87529</v>
      </c>
      <c r="C182" s="73" t="s">
        <v>549</v>
      </c>
      <c r="D182" s="185" t="s">
        <v>4</v>
      </c>
      <c r="E182" s="157">
        <v>4.3499999999999996</v>
      </c>
      <c r="F182" s="153">
        <v>2</v>
      </c>
      <c r="G182" s="153">
        <f>32*3</f>
        <v>96</v>
      </c>
      <c r="H182" s="154">
        <v>2</v>
      </c>
      <c r="I182" s="170">
        <f>((E182*F182)+(G182*H182))*4</f>
        <v>802.8</v>
      </c>
    </row>
    <row r="183" spans="1:9" x14ac:dyDescent="0.25">
      <c r="A183" s="14"/>
      <c r="B183" s="15"/>
      <c r="C183" s="16" t="s">
        <v>9</v>
      </c>
      <c r="D183" s="17"/>
      <c r="E183" s="18"/>
      <c r="F183" s="18"/>
      <c r="G183" s="32"/>
      <c r="H183" s="31"/>
      <c r="I183" s="33"/>
    </row>
    <row r="184" spans="1:9" ht="47.25" x14ac:dyDescent="0.25">
      <c r="A184" s="185" t="s">
        <v>305</v>
      </c>
      <c r="B184" s="186">
        <v>95305</v>
      </c>
      <c r="C184" s="187" t="s">
        <v>323</v>
      </c>
      <c r="D184" s="185" t="s">
        <v>4</v>
      </c>
      <c r="E184" s="155"/>
      <c r="F184" s="156"/>
      <c r="G184" s="156"/>
      <c r="H184" s="156"/>
      <c r="I184" s="170">
        <f>I182</f>
        <v>802.8</v>
      </c>
    </row>
  </sheetData>
  <mergeCells count="46">
    <mergeCell ref="G176:H176"/>
    <mergeCell ref="A160:G160"/>
    <mergeCell ref="A94:G94"/>
    <mergeCell ref="D177:D178"/>
    <mergeCell ref="C177:C178"/>
    <mergeCell ref="B177:B178"/>
    <mergeCell ref="A177:A178"/>
    <mergeCell ref="A171:A172"/>
    <mergeCell ref="B171:B172"/>
    <mergeCell ref="C171:C172"/>
    <mergeCell ref="D171:D172"/>
    <mergeCell ref="A9:I9"/>
    <mergeCell ref="A6:I8"/>
    <mergeCell ref="A1:I5"/>
    <mergeCell ref="A64:G64"/>
    <mergeCell ref="A22:G22"/>
    <mergeCell ref="A30:G30"/>
    <mergeCell ref="A34:G34"/>
    <mergeCell ref="A38:G38"/>
    <mergeCell ref="A42:G42"/>
    <mergeCell ref="A45:G45"/>
    <mergeCell ref="A46:G46"/>
    <mergeCell ref="H47:I47"/>
    <mergeCell ref="A26:A27"/>
    <mergeCell ref="B26:B27"/>
    <mergeCell ref="C26:C27"/>
    <mergeCell ref="D26:D27"/>
    <mergeCell ref="A155:G155"/>
    <mergeCell ref="A73:A74"/>
    <mergeCell ref="B73:B74"/>
    <mergeCell ref="C73:C74"/>
    <mergeCell ref="D73:D74"/>
    <mergeCell ref="A82:A83"/>
    <mergeCell ref="B82:B83"/>
    <mergeCell ref="C82:C83"/>
    <mergeCell ref="D82:D83"/>
    <mergeCell ref="A79:G79"/>
    <mergeCell ref="A85:G85"/>
    <mergeCell ref="A89:G89"/>
    <mergeCell ref="A99:G99"/>
    <mergeCell ref="A54:G54"/>
    <mergeCell ref="A68:G68"/>
    <mergeCell ref="A104:G104"/>
    <mergeCell ref="A111:G111"/>
    <mergeCell ref="A154:G154"/>
    <mergeCell ref="A69:G69"/>
  </mergeCells>
  <pageMargins left="0.511811024" right="0.511811024" top="0.78740157499999996" bottom="0.78740157499999996" header="0.31496062000000002" footer="0.31496062000000002"/>
  <pageSetup paperSize="9" scale="49" fitToHeight="0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>
    <pageSetUpPr fitToPage="1"/>
  </sheetPr>
  <dimension ref="A1:P192"/>
  <sheetViews>
    <sheetView topLeftCell="A190" zoomScale="85" zoomScaleNormal="85" workbookViewId="0">
      <selection activeCell="I203" sqref="I203"/>
    </sheetView>
  </sheetViews>
  <sheetFormatPr defaultRowHeight="15" x14ac:dyDescent="0.25"/>
  <cols>
    <col min="1" max="1" width="16.5703125" customWidth="1"/>
    <col min="2" max="2" width="55.140625" customWidth="1"/>
    <col min="4" max="4" width="11.42578125" customWidth="1"/>
    <col min="5" max="5" width="18.28515625" bestFit="1" customWidth="1"/>
    <col min="6" max="6" width="14.140625" bestFit="1" customWidth="1"/>
    <col min="10" max="10" width="13.7109375" bestFit="1" customWidth="1"/>
  </cols>
  <sheetData>
    <row r="1" spans="1:16" ht="15.75" x14ac:dyDescent="0.25">
      <c r="A1" s="37" t="s">
        <v>109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6" ht="15.75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6" ht="15.75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6" ht="15.75" x14ac:dyDescent="0.25">
      <c r="A4" s="326" t="s">
        <v>10</v>
      </c>
      <c r="B4" s="326"/>
      <c r="C4" s="32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6" ht="15.75" x14ac:dyDescent="0.25">
      <c r="A5" s="60" t="s">
        <v>11</v>
      </c>
      <c r="B5" s="60" t="s">
        <v>12</v>
      </c>
      <c r="C5" s="60" t="s">
        <v>13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6" ht="94.5" x14ac:dyDescent="0.25">
      <c r="A6" s="61" t="s">
        <v>557</v>
      </c>
      <c r="B6" s="61" t="s">
        <v>556</v>
      </c>
      <c r="C6" s="62" t="s">
        <v>15</v>
      </c>
      <c r="D6" s="37"/>
      <c r="E6" s="37"/>
      <c r="F6" s="37"/>
      <c r="G6" s="37"/>
      <c r="H6" s="105"/>
      <c r="I6" s="105"/>
      <c r="J6" s="105"/>
      <c r="K6" s="105"/>
      <c r="L6" s="105"/>
      <c r="M6" s="105"/>
      <c r="N6" s="105"/>
      <c r="O6" s="84"/>
      <c r="P6" s="84"/>
    </row>
    <row r="7" spans="1:16" ht="15.75" x14ac:dyDescent="0.25">
      <c r="A7" s="37"/>
      <c r="B7" s="37"/>
      <c r="C7" s="37"/>
      <c r="D7" s="37"/>
      <c r="E7" s="37"/>
      <c r="F7" s="37"/>
      <c r="G7" s="37"/>
      <c r="H7" s="105"/>
      <c r="I7" s="105"/>
      <c r="J7" s="105"/>
      <c r="K7" s="105"/>
      <c r="L7" s="105"/>
      <c r="M7" s="105"/>
      <c r="N7" s="105"/>
      <c r="O7" s="84"/>
      <c r="P7" s="84"/>
    </row>
    <row r="8" spans="1:16" ht="15.75" x14ac:dyDescent="0.25">
      <c r="A8" s="326" t="s">
        <v>16</v>
      </c>
      <c r="B8" s="326"/>
      <c r="C8" s="326"/>
      <c r="D8" s="326"/>
      <c r="E8" s="326"/>
      <c r="F8" s="326"/>
      <c r="G8" s="37"/>
      <c r="H8" s="325" t="s">
        <v>16</v>
      </c>
      <c r="I8" s="325"/>
      <c r="J8" s="325"/>
      <c r="K8" s="325"/>
      <c r="L8" s="325"/>
      <c r="M8" s="325"/>
      <c r="N8" s="325"/>
      <c r="O8" s="84"/>
      <c r="P8" s="84"/>
    </row>
    <row r="9" spans="1:16" ht="31.5" x14ac:dyDescent="0.25">
      <c r="A9" s="60" t="s">
        <v>11</v>
      </c>
      <c r="B9" s="60" t="s">
        <v>17</v>
      </c>
      <c r="C9" s="60" t="s">
        <v>18</v>
      </c>
      <c r="D9" s="60" t="s">
        <v>19</v>
      </c>
      <c r="E9" s="60" t="s">
        <v>137</v>
      </c>
      <c r="F9" s="60" t="s">
        <v>21</v>
      </c>
      <c r="G9" s="37"/>
      <c r="H9" s="106" t="s">
        <v>122</v>
      </c>
      <c r="I9" s="106" t="s">
        <v>11</v>
      </c>
      <c r="J9" s="106" t="s">
        <v>17</v>
      </c>
      <c r="K9" s="106" t="s">
        <v>18</v>
      </c>
      <c r="L9" s="106" t="s">
        <v>19</v>
      </c>
      <c r="M9" s="106" t="s">
        <v>137</v>
      </c>
      <c r="N9" s="106" t="s">
        <v>21</v>
      </c>
      <c r="O9" s="84"/>
      <c r="P9" s="84"/>
    </row>
    <row r="10" spans="1:16" ht="31.5" x14ac:dyDescent="0.25">
      <c r="A10" s="61">
        <v>88315</v>
      </c>
      <c r="B10" s="61" t="s">
        <v>558</v>
      </c>
      <c r="C10" s="63" t="s">
        <v>24</v>
      </c>
      <c r="D10" s="66">
        <v>0.5</v>
      </c>
      <c r="E10" s="66">
        <v>15.8</v>
      </c>
      <c r="F10" s="66">
        <f>D10*E10</f>
        <v>7.9</v>
      </c>
      <c r="G10" s="37"/>
      <c r="H10" s="107"/>
      <c r="I10" s="108"/>
      <c r="J10" s="108"/>
      <c r="K10" s="107"/>
      <c r="L10" s="109"/>
      <c r="M10" s="109"/>
      <c r="N10" s="109"/>
      <c r="O10" s="84"/>
      <c r="P10" s="84"/>
    </row>
    <row r="11" spans="1:16" ht="15.75" x14ac:dyDescent="0.25">
      <c r="A11" s="149">
        <v>88316</v>
      </c>
      <c r="B11" s="149" t="s">
        <v>146</v>
      </c>
      <c r="C11" s="63" t="s">
        <v>24</v>
      </c>
      <c r="D11" s="150">
        <v>0.5</v>
      </c>
      <c r="E11" s="150">
        <v>12.7</v>
      </c>
      <c r="F11" s="66">
        <f>D11*E11</f>
        <v>6.35</v>
      </c>
      <c r="G11" s="37"/>
      <c r="H11" s="107"/>
      <c r="I11" s="108"/>
      <c r="J11" s="108"/>
      <c r="K11" s="107"/>
      <c r="L11" s="109"/>
      <c r="M11" s="109"/>
      <c r="N11" s="109"/>
      <c r="O11" s="84"/>
      <c r="P11" s="84"/>
    </row>
    <row r="12" spans="1:16" ht="47.25" x14ac:dyDescent="0.25">
      <c r="A12" s="149">
        <v>7167</v>
      </c>
      <c r="B12" s="149" t="s">
        <v>559</v>
      </c>
      <c r="C12" s="139" t="s">
        <v>4</v>
      </c>
      <c r="D12" s="150">
        <v>1.05</v>
      </c>
      <c r="E12" s="150">
        <v>18.809999999999999</v>
      </c>
      <c r="F12" s="66">
        <f>D12*E12</f>
        <v>19.750499999999999</v>
      </c>
      <c r="G12" s="37"/>
      <c r="H12" s="107"/>
      <c r="I12" s="108"/>
      <c r="J12" s="108"/>
      <c r="K12" s="107"/>
      <c r="L12" s="109"/>
      <c r="M12" s="109"/>
      <c r="N12" s="109"/>
      <c r="O12" s="84"/>
      <c r="P12" s="84"/>
    </row>
    <row r="13" spans="1:16" ht="47.25" x14ac:dyDescent="0.25">
      <c r="A13" s="149">
        <v>7696</v>
      </c>
      <c r="B13" s="149" t="s">
        <v>560</v>
      </c>
      <c r="C13" s="139" t="s">
        <v>120</v>
      </c>
      <c r="D13" s="150">
        <v>0.69</v>
      </c>
      <c r="E13" s="150">
        <v>40.520000000000003</v>
      </c>
      <c r="F13" s="66">
        <f>D13*E13</f>
        <v>27.9588</v>
      </c>
      <c r="G13" s="37"/>
      <c r="H13" s="107"/>
      <c r="I13" s="108"/>
      <c r="J13" s="108"/>
      <c r="K13" s="107"/>
      <c r="L13" s="109"/>
      <c r="M13" s="109"/>
      <c r="N13" s="109"/>
      <c r="O13" s="84"/>
      <c r="P13" s="84"/>
    </row>
    <row r="14" spans="1:16" ht="47.25" x14ac:dyDescent="0.25">
      <c r="A14" s="61" t="s">
        <v>263</v>
      </c>
      <c r="B14" s="62" t="s">
        <v>278</v>
      </c>
      <c r="C14" s="63" t="s">
        <v>128</v>
      </c>
      <c r="D14" s="150">
        <f>0.15*0.15*0.7</f>
        <v>1.575E-2</v>
      </c>
      <c r="E14" s="66">
        <v>296.95</v>
      </c>
      <c r="F14" s="66">
        <f t="shared" ref="F14" si="0">E14*D14</f>
        <v>4.6769625000000001</v>
      </c>
      <c r="G14" s="37"/>
      <c r="H14" s="107"/>
      <c r="I14" s="108"/>
      <c r="J14" s="108"/>
      <c r="K14" s="107"/>
      <c r="L14" s="109"/>
      <c r="M14" s="109"/>
      <c r="N14" s="109"/>
      <c r="O14" s="84"/>
      <c r="P14" s="84"/>
    </row>
    <row r="15" spans="1:16" ht="15.75" x14ac:dyDescent="0.25">
      <c r="A15" s="326" t="s">
        <v>26</v>
      </c>
      <c r="B15" s="326"/>
      <c r="C15" s="326"/>
      <c r="D15" s="326"/>
      <c r="E15" s="326"/>
      <c r="F15" s="326"/>
      <c r="G15" s="37"/>
      <c r="H15" s="107"/>
      <c r="I15" s="105"/>
      <c r="J15" s="105"/>
      <c r="K15" s="105"/>
      <c r="L15" s="105"/>
      <c r="M15" s="105"/>
      <c r="N15" s="105"/>
      <c r="O15" s="84"/>
      <c r="P15" s="84"/>
    </row>
    <row r="16" spans="1:16" ht="31.5" x14ac:dyDescent="0.25">
      <c r="A16" s="60" t="s">
        <v>27</v>
      </c>
      <c r="B16" s="60" t="s">
        <v>28</v>
      </c>
      <c r="C16" s="60" t="s">
        <v>29</v>
      </c>
      <c r="D16" s="60" t="s">
        <v>136</v>
      </c>
      <c r="E16" s="60" t="s">
        <v>30</v>
      </c>
      <c r="F16" s="60" t="s">
        <v>31</v>
      </c>
      <c r="G16" s="37"/>
      <c r="H16" s="107"/>
      <c r="I16" s="105"/>
      <c r="J16" s="105"/>
      <c r="K16" s="105"/>
      <c r="L16" s="105"/>
      <c r="M16" s="105"/>
      <c r="N16" s="105"/>
      <c r="O16" s="84"/>
      <c r="P16" s="84"/>
    </row>
    <row r="17" spans="1:16" ht="15.75" x14ac:dyDescent="0.25">
      <c r="A17" s="62">
        <v>0</v>
      </c>
      <c r="B17" s="151">
        <f>SUM(F12:F14)</f>
        <v>52.386262500000001</v>
      </c>
      <c r="C17" s="151">
        <f>SUM(F10:F11)</f>
        <v>14.25</v>
      </c>
      <c r="D17" s="62">
        <v>0</v>
      </c>
      <c r="E17" s="62">
        <v>0</v>
      </c>
      <c r="F17" s="64">
        <f>B17+C17</f>
        <v>66.636262500000001</v>
      </c>
      <c r="G17" s="37"/>
      <c r="H17" s="105"/>
      <c r="I17" s="105"/>
      <c r="J17" s="105"/>
      <c r="K17" s="105"/>
      <c r="L17" s="105"/>
      <c r="M17" s="105"/>
      <c r="N17" s="105"/>
      <c r="O17" s="84"/>
      <c r="P17" s="84"/>
    </row>
    <row r="18" spans="1:16" ht="15.75" x14ac:dyDescent="0.25">
      <c r="A18" s="37"/>
      <c r="B18" s="37"/>
      <c r="C18" s="37"/>
      <c r="D18" s="37"/>
      <c r="E18" s="37"/>
      <c r="F18" s="37"/>
      <c r="G18" s="37"/>
      <c r="H18" s="105"/>
      <c r="I18" s="105"/>
      <c r="J18" s="105"/>
      <c r="K18" s="105"/>
      <c r="L18" s="105"/>
      <c r="M18" s="105"/>
      <c r="N18" s="105"/>
      <c r="O18" s="84"/>
      <c r="P18" s="84"/>
    </row>
    <row r="19" spans="1:16" ht="15.75" x14ac:dyDescent="0.25">
      <c r="A19" s="326" t="s">
        <v>33</v>
      </c>
      <c r="B19" s="326"/>
      <c r="C19" s="326"/>
      <c r="D19" s="326"/>
      <c r="E19" s="326"/>
      <c r="F19" s="326"/>
      <c r="G19" s="37"/>
      <c r="H19" s="105"/>
      <c r="I19" s="105"/>
      <c r="J19" s="105"/>
      <c r="K19" s="105"/>
      <c r="L19" s="105"/>
      <c r="M19" s="105"/>
      <c r="N19" s="105"/>
      <c r="O19" s="84"/>
      <c r="P19" s="84"/>
    </row>
    <row r="20" spans="1:16" ht="15.75" x14ac:dyDescent="0.25">
      <c r="A20" s="60" t="s">
        <v>11</v>
      </c>
      <c r="B20" s="60" t="s">
        <v>34</v>
      </c>
      <c r="C20" s="60" t="s">
        <v>18</v>
      </c>
      <c r="D20" s="60" t="s">
        <v>19</v>
      </c>
      <c r="E20" s="60" t="s">
        <v>137</v>
      </c>
      <c r="F20" s="60" t="s">
        <v>21</v>
      </c>
      <c r="G20" s="37"/>
      <c r="H20" s="105"/>
      <c r="I20" s="105"/>
      <c r="J20" s="105"/>
      <c r="K20" s="105"/>
      <c r="L20" s="105"/>
      <c r="M20" s="105"/>
      <c r="N20" s="105"/>
      <c r="O20" s="84"/>
      <c r="P20" s="84"/>
    </row>
    <row r="21" spans="1:16" ht="31.5" x14ac:dyDescent="0.25">
      <c r="A21" s="61" t="s">
        <v>195</v>
      </c>
      <c r="B21" s="62" t="s">
        <v>196</v>
      </c>
      <c r="C21" s="63" t="s">
        <v>24</v>
      </c>
      <c r="D21" s="63">
        <v>59395</v>
      </c>
      <c r="E21" s="63">
        <v>1.56</v>
      </c>
      <c r="F21" s="63">
        <v>9.27</v>
      </c>
      <c r="G21" s="37"/>
      <c r="H21" s="105"/>
      <c r="I21" s="105"/>
      <c r="J21" s="105"/>
      <c r="K21" s="105"/>
      <c r="L21" s="105"/>
      <c r="M21" s="105"/>
      <c r="N21" s="105"/>
      <c r="O21" s="84"/>
      <c r="P21" s="84"/>
    </row>
    <row r="22" spans="1:16" ht="15.75" x14ac:dyDescent="0.25">
      <c r="A22" s="61" t="s">
        <v>249</v>
      </c>
      <c r="B22" s="62" t="s">
        <v>250</v>
      </c>
      <c r="C22" s="63" t="s">
        <v>123</v>
      </c>
      <c r="D22" s="63">
        <v>3.2000000000000001E-2</v>
      </c>
      <c r="E22" s="63">
        <v>12.21</v>
      </c>
      <c r="F22" s="63">
        <v>0.39</v>
      </c>
      <c r="G22" s="37"/>
      <c r="H22" s="105"/>
      <c r="I22" s="105"/>
      <c r="J22" s="105"/>
      <c r="K22" s="105"/>
      <c r="L22" s="105"/>
      <c r="M22" s="105"/>
      <c r="N22" s="105"/>
      <c r="O22" s="84"/>
      <c r="P22" s="84"/>
    </row>
    <row r="23" spans="1:16" ht="31.5" x14ac:dyDescent="0.25">
      <c r="A23" s="61" t="s">
        <v>265</v>
      </c>
      <c r="B23" s="62" t="s">
        <v>266</v>
      </c>
      <c r="C23" s="63" t="s">
        <v>128</v>
      </c>
      <c r="D23" s="63">
        <v>1.4200000000000001E-2</v>
      </c>
      <c r="E23" s="63">
        <v>85</v>
      </c>
      <c r="F23" s="63">
        <v>1.21</v>
      </c>
      <c r="G23" s="37"/>
      <c r="H23" s="105"/>
      <c r="I23" s="105"/>
      <c r="J23" s="105"/>
      <c r="K23" s="105"/>
      <c r="L23" s="105"/>
      <c r="M23" s="105"/>
      <c r="N23" s="105"/>
      <c r="O23" s="84"/>
      <c r="P23" s="84"/>
    </row>
    <row r="24" spans="1:16" ht="15.75" x14ac:dyDescent="0.25">
      <c r="A24" s="61" t="s">
        <v>197</v>
      </c>
      <c r="B24" s="62" t="s">
        <v>198</v>
      </c>
      <c r="C24" s="63" t="s">
        <v>37</v>
      </c>
      <c r="D24" s="63">
        <v>1.55E-2</v>
      </c>
      <c r="E24" s="63">
        <v>24.11</v>
      </c>
      <c r="F24" s="63">
        <v>0.37</v>
      </c>
      <c r="G24" s="37"/>
      <c r="H24" s="105"/>
      <c r="I24" s="105"/>
      <c r="J24" s="105"/>
      <c r="K24" s="105"/>
      <c r="L24" s="105"/>
      <c r="M24" s="105"/>
      <c r="N24" s="105"/>
      <c r="O24" s="84"/>
      <c r="P24" s="84"/>
    </row>
    <row r="25" spans="1:16" ht="15.75" x14ac:dyDescent="0.25">
      <c r="A25" s="61" t="s">
        <v>199</v>
      </c>
      <c r="B25" s="62" t="s">
        <v>200</v>
      </c>
      <c r="C25" s="63" t="s">
        <v>37</v>
      </c>
      <c r="D25" s="63">
        <v>4.7300000000000002E-2</v>
      </c>
      <c r="E25" s="63">
        <v>8.17</v>
      </c>
      <c r="F25" s="63">
        <v>0.39</v>
      </c>
      <c r="G25" s="37"/>
      <c r="H25" s="105"/>
      <c r="I25" s="105"/>
      <c r="J25" s="105"/>
      <c r="K25" s="105"/>
      <c r="L25" s="105"/>
      <c r="M25" s="105"/>
      <c r="N25" s="105"/>
      <c r="O25" s="84"/>
      <c r="P25" s="84"/>
    </row>
    <row r="26" spans="1:16" ht="47.25" x14ac:dyDescent="0.25">
      <c r="A26" s="61" t="s">
        <v>267</v>
      </c>
      <c r="B26" s="62" t="s">
        <v>268</v>
      </c>
      <c r="C26" s="63" t="s">
        <v>37</v>
      </c>
      <c r="D26" s="63">
        <v>0</v>
      </c>
      <c r="E26" s="63" t="s">
        <v>279</v>
      </c>
      <c r="F26" s="63">
        <v>0</v>
      </c>
      <c r="G26" s="37"/>
      <c r="H26" s="105"/>
      <c r="I26" s="105"/>
      <c r="J26" s="105"/>
      <c r="K26" s="105"/>
      <c r="L26" s="105"/>
      <c r="M26" s="105"/>
      <c r="N26" s="105"/>
      <c r="O26" s="84"/>
      <c r="P26" s="84"/>
    </row>
    <row r="27" spans="1:16" ht="15.75" x14ac:dyDescent="0.25">
      <c r="A27" s="61" t="s">
        <v>201</v>
      </c>
      <c r="B27" s="62" t="s">
        <v>202</v>
      </c>
      <c r="C27" s="63" t="s">
        <v>37</v>
      </c>
      <c r="D27" s="63">
        <v>1.8E-3</v>
      </c>
      <c r="E27" s="63">
        <v>144.75</v>
      </c>
      <c r="F27" s="63">
        <v>0.26</v>
      </c>
      <c r="G27" s="37"/>
      <c r="H27" s="105"/>
      <c r="I27" s="105"/>
      <c r="J27" s="105"/>
      <c r="K27" s="105"/>
      <c r="L27" s="105"/>
      <c r="M27" s="105"/>
      <c r="N27" s="105"/>
      <c r="O27" s="84"/>
      <c r="P27" s="84"/>
    </row>
    <row r="28" spans="1:16" ht="31.5" x14ac:dyDescent="0.25">
      <c r="A28" s="61" t="s">
        <v>41</v>
      </c>
      <c r="B28" s="62" t="s">
        <v>42</v>
      </c>
      <c r="C28" s="63" t="s">
        <v>43</v>
      </c>
      <c r="D28" s="63">
        <v>9.4999999999999998E-3</v>
      </c>
      <c r="E28" s="63">
        <v>38.97</v>
      </c>
      <c r="F28" s="63">
        <v>0.37</v>
      </c>
      <c r="G28" s="37"/>
      <c r="H28" s="105"/>
      <c r="I28" s="105"/>
      <c r="J28" s="105"/>
      <c r="K28" s="105"/>
      <c r="L28" s="105"/>
      <c r="M28" s="105"/>
      <c r="N28" s="105"/>
      <c r="O28" s="84"/>
      <c r="P28" s="84"/>
    </row>
    <row r="29" spans="1:16" ht="15.75" x14ac:dyDescent="0.25">
      <c r="A29" s="61" t="s">
        <v>269</v>
      </c>
      <c r="B29" s="62" t="s">
        <v>270</v>
      </c>
      <c r="C29" s="63" t="s">
        <v>24</v>
      </c>
      <c r="D29" s="63">
        <v>10119</v>
      </c>
      <c r="E29" s="63">
        <v>12.88</v>
      </c>
      <c r="F29" s="63">
        <v>13.03</v>
      </c>
      <c r="G29" s="37"/>
      <c r="H29" s="105"/>
      <c r="I29" s="105"/>
      <c r="J29" s="105"/>
      <c r="K29" s="105"/>
      <c r="L29" s="105"/>
      <c r="M29" s="105"/>
      <c r="N29" s="105"/>
      <c r="O29" s="84"/>
      <c r="P29" s="84"/>
    </row>
    <row r="30" spans="1:16" ht="31.5" x14ac:dyDescent="0.25">
      <c r="A30" s="61" t="s">
        <v>54</v>
      </c>
      <c r="B30" s="62" t="s">
        <v>55</v>
      </c>
      <c r="C30" s="63" t="s">
        <v>37</v>
      </c>
      <c r="D30" s="63">
        <v>4.1999999999999997E-3</v>
      </c>
      <c r="E30" s="63">
        <v>117.14</v>
      </c>
      <c r="F30" s="63">
        <v>0.49</v>
      </c>
      <c r="G30" s="37"/>
      <c r="H30" s="105"/>
      <c r="I30" s="105"/>
      <c r="J30" s="105"/>
      <c r="K30" s="105"/>
      <c r="L30" s="105"/>
      <c r="M30" s="105"/>
      <c r="N30" s="105"/>
      <c r="O30" s="84"/>
      <c r="P30" s="84"/>
    </row>
    <row r="31" spans="1:16" ht="15.75" x14ac:dyDescent="0.25">
      <c r="A31" s="61" t="s">
        <v>271</v>
      </c>
      <c r="B31" s="62" t="s">
        <v>272</v>
      </c>
      <c r="C31" s="63" t="s">
        <v>123</v>
      </c>
      <c r="D31" s="63">
        <v>58529</v>
      </c>
      <c r="E31" s="63">
        <v>0.52</v>
      </c>
      <c r="F31" s="63">
        <v>3.04</v>
      </c>
      <c r="G31" s="37"/>
      <c r="H31" s="105"/>
      <c r="I31" s="105"/>
      <c r="J31" s="105"/>
      <c r="K31" s="105"/>
      <c r="L31" s="105"/>
      <c r="M31" s="105"/>
      <c r="N31" s="105"/>
      <c r="O31" s="84"/>
      <c r="P31" s="84"/>
    </row>
    <row r="32" spans="1:16" ht="15.75" x14ac:dyDescent="0.25">
      <c r="A32" s="61" t="s">
        <v>273</v>
      </c>
      <c r="B32" s="62" t="s">
        <v>274</v>
      </c>
      <c r="C32" s="63" t="s">
        <v>264</v>
      </c>
      <c r="D32" s="63">
        <v>2.98E-2</v>
      </c>
      <c r="E32" s="63">
        <v>0.51</v>
      </c>
      <c r="F32" s="63">
        <v>0.02</v>
      </c>
      <c r="G32" s="37"/>
      <c r="H32" s="105"/>
      <c r="I32" s="105"/>
      <c r="J32" s="105"/>
      <c r="K32" s="105"/>
      <c r="L32" s="105"/>
      <c r="M32" s="105"/>
      <c r="N32" s="105"/>
      <c r="O32" s="84"/>
      <c r="P32" s="84"/>
    </row>
    <row r="33" spans="1:16" ht="15.75" x14ac:dyDescent="0.25">
      <c r="A33" s="61" t="s">
        <v>205</v>
      </c>
      <c r="B33" s="62" t="s">
        <v>206</v>
      </c>
      <c r="C33" s="63" t="s">
        <v>37</v>
      </c>
      <c r="D33" s="63">
        <v>1.1999999999999999E-3</v>
      </c>
      <c r="E33" s="63">
        <v>218.09</v>
      </c>
      <c r="F33" s="63">
        <v>0.26</v>
      </c>
      <c r="G33" s="37"/>
      <c r="H33" s="105"/>
      <c r="I33" s="105"/>
      <c r="J33" s="105"/>
      <c r="K33" s="105"/>
      <c r="L33" s="105"/>
      <c r="M33" s="105"/>
      <c r="N33" s="105"/>
      <c r="O33" s="84"/>
      <c r="P33" s="84"/>
    </row>
    <row r="34" spans="1:16" ht="15.75" x14ac:dyDescent="0.25">
      <c r="A34" s="61" t="s">
        <v>207</v>
      </c>
      <c r="B34" s="62" t="s">
        <v>208</v>
      </c>
      <c r="C34" s="63" t="s">
        <v>37</v>
      </c>
      <c r="D34" s="63">
        <v>0</v>
      </c>
      <c r="E34" s="63">
        <v>617.65</v>
      </c>
      <c r="F34" s="63">
        <v>0</v>
      </c>
      <c r="G34" s="37"/>
      <c r="H34" s="105"/>
      <c r="I34" s="105"/>
      <c r="J34" s="105"/>
      <c r="K34" s="105"/>
      <c r="L34" s="105"/>
      <c r="M34" s="105"/>
      <c r="N34" s="105"/>
      <c r="O34" s="84"/>
      <c r="P34" s="84"/>
    </row>
    <row r="35" spans="1:16" ht="31.5" x14ac:dyDescent="0.25">
      <c r="A35" s="61" t="s">
        <v>209</v>
      </c>
      <c r="B35" s="62" t="s">
        <v>210</v>
      </c>
      <c r="C35" s="63" t="s">
        <v>37</v>
      </c>
      <c r="D35" s="63">
        <v>5.0000000000000001E-4</v>
      </c>
      <c r="E35" s="63">
        <v>664.5</v>
      </c>
      <c r="F35" s="63">
        <v>0.33</v>
      </c>
      <c r="G35" s="37"/>
      <c r="H35" s="105"/>
      <c r="I35" s="105"/>
      <c r="J35" s="105"/>
      <c r="K35" s="105"/>
      <c r="L35" s="105"/>
      <c r="M35" s="105"/>
      <c r="N35" s="105"/>
      <c r="O35" s="84"/>
      <c r="P35" s="84"/>
    </row>
    <row r="36" spans="1:16" ht="21" customHeight="1" x14ac:dyDescent="0.25">
      <c r="A36" s="61" t="s">
        <v>211</v>
      </c>
      <c r="B36" s="62" t="s">
        <v>212</v>
      </c>
      <c r="C36" s="63" t="s">
        <v>24</v>
      </c>
      <c r="D36" s="63">
        <v>59395</v>
      </c>
      <c r="E36" s="63">
        <v>0.37</v>
      </c>
      <c r="F36" s="63">
        <v>2.2000000000000002</v>
      </c>
      <c r="G36" s="37"/>
      <c r="H36" s="105"/>
      <c r="I36" s="105"/>
      <c r="J36" s="105"/>
      <c r="K36" s="105"/>
      <c r="L36" s="105"/>
      <c r="M36" s="105"/>
      <c r="N36" s="105"/>
      <c r="O36" s="84"/>
      <c r="P36" s="84"/>
    </row>
    <row r="37" spans="1:16" ht="21" customHeight="1" x14ac:dyDescent="0.25">
      <c r="A37" s="61" t="s">
        <v>213</v>
      </c>
      <c r="B37" s="62" t="s">
        <v>214</v>
      </c>
      <c r="C37" s="63" t="s">
        <v>37</v>
      </c>
      <c r="D37" s="63">
        <v>5.3900000000000003E-2</v>
      </c>
      <c r="E37" s="63">
        <v>5.08</v>
      </c>
      <c r="F37" s="63">
        <v>0.27</v>
      </c>
      <c r="G37" s="37"/>
      <c r="H37" s="105"/>
      <c r="I37" s="105"/>
      <c r="J37" s="105"/>
      <c r="K37" s="105"/>
      <c r="L37" s="105"/>
      <c r="M37" s="105"/>
      <c r="N37" s="105"/>
      <c r="O37" s="84"/>
      <c r="P37" s="84"/>
    </row>
    <row r="38" spans="1:16" ht="15.75" x14ac:dyDescent="0.25">
      <c r="A38" s="61" t="s">
        <v>217</v>
      </c>
      <c r="B38" s="62" t="s">
        <v>218</v>
      </c>
      <c r="C38" s="63" t="s">
        <v>37</v>
      </c>
      <c r="D38" s="63">
        <v>1.6E-2</v>
      </c>
      <c r="E38" s="63">
        <v>6.62</v>
      </c>
      <c r="F38" s="63">
        <v>0.11</v>
      </c>
      <c r="G38" s="37"/>
      <c r="H38" s="105"/>
      <c r="I38" s="105"/>
      <c r="J38" s="105"/>
      <c r="K38" s="105"/>
      <c r="L38" s="105"/>
      <c r="M38" s="105"/>
      <c r="N38" s="105"/>
      <c r="O38" s="84"/>
      <c r="P38" s="84"/>
    </row>
    <row r="39" spans="1:16" ht="21" customHeight="1" x14ac:dyDescent="0.25">
      <c r="A39" s="61" t="s">
        <v>219</v>
      </c>
      <c r="B39" s="62" t="s">
        <v>280</v>
      </c>
      <c r="C39" s="63" t="s">
        <v>37</v>
      </c>
      <c r="D39" s="63">
        <v>0</v>
      </c>
      <c r="E39" s="63">
        <v>685.09</v>
      </c>
      <c r="F39" s="63">
        <v>0</v>
      </c>
      <c r="G39" s="37"/>
      <c r="H39" s="105"/>
      <c r="I39" s="105"/>
      <c r="J39" s="105"/>
      <c r="K39" s="105"/>
      <c r="L39" s="105"/>
      <c r="M39" s="105"/>
      <c r="N39" s="105"/>
      <c r="O39" s="84"/>
      <c r="P39" s="84"/>
    </row>
    <row r="40" spans="1:16" ht="15.75" x14ac:dyDescent="0.25">
      <c r="A40" s="61" t="s">
        <v>71</v>
      </c>
      <c r="B40" s="62" t="s">
        <v>72</v>
      </c>
      <c r="C40" s="63" t="s">
        <v>43</v>
      </c>
      <c r="D40" s="63">
        <v>8.1299999999999997E-2</v>
      </c>
      <c r="E40" s="63">
        <v>7.3</v>
      </c>
      <c r="F40" s="63">
        <v>0.59</v>
      </c>
      <c r="G40" s="37"/>
      <c r="H40" s="105"/>
      <c r="I40" s="105"/>
      <c r="J40" s="105"/>
      <c r="K40" s="105"/>
      <c r="L40" s="105"/>
      <c r="M40" s="105"/>
      <c r="N40" s="105"/>
      <c r="O40" s="84"/>
      <c r="P40" s="84"/>
    </row>
    <row r="41" spans="1:16" ht="15.75" x14ac:dyDescent="0.25">
      <c r="A41" s="61" t="s">
        <v>275</v>
      </c>
      <c r="B41" s="62" t="s">
        <v>276</v>
      </c>
      <c r="C41" s="63" t="s">
        <v>24</v>
      </c>
      <c r="D41" s="63">
        <v>2.3199999999999998E-2</v>
      </c>
      <c r="E41" s="63">
        <v>12.62</v>
      </c>
      <c r="F41" s="63">
        <v>0.28999999999999998</v>
      </c>
      <c r="G41" s="37"/>
      <c r="H41" s="105"/>
      <c r="I41" s="105"/>
      <c r="J41" s="105"/>
      <c r="K41" s="105"/>
      <c r="L41" s="105"/>
      <c r="M41" s="105"/>
      <c r="N41" s="105"/>
      <c r="O41" s="84"/>
      <c r="P41" s="84"/>
    </row>
    <row r="42" spans="1:16" ht="31.5" x14ac:dyDescent="0.25">
      <c r="A42" s="61" t="s">
        <v>277</v>
      </c>
      <c r="B42" s="62" t="s">
        <v>281</v>
      </c>
      <c r="C42" s="63" t="s">
        <v>128</v>
      </c>
      <c r="D42" s="63">
        <v>1.06E-2</v>
      </c>
      <c r="E42" s="63">
        <v>70</v>
      </c>
      <c r="F42" s="63">
        <v>0.74</v>
      </c>
      <c r="G42" s="37"/>
      <c r="H42" s="105"/>
      <c r="I42" s="105"/>
      <c r="J42" s="105"/>
      <c r="K42" s="105"/>
      <c r="L42" s="105"/>
      <c r="M42" s="105"/>
      <c r="N42" s="105"/>
      <c r="O42" s="84"/>
      <c r="P42" s="84"/>
    </row>
    <row r="43" spans="1:16" ht="15.75" x14ac:dyDescent="0.25">
      <c r="A43" s="61" t="s">
        <v>124</v>
      </c>
      <c r="B43" s="62" t="s">
        <v>125</v>
      </c>
      <c r="C43" s="63" t="s">
        <v>24</v>
      </c>
      <c r="D43" s="63">
        <v>10171</v>
      </c>
      <c r="E43" s="63">
        <v>13.74</v>
      </c>
      <c r="F43" s="63">
        <v>13.97</v>
      </c>
      <c r="G43" s="37"/>
      <c r="H43" s="105"/>
      <c r="I43" s="105"/>
      <c r="J43" s="105"/>
      <c r="K43" s="105"/>
      <c r="L43" s="105"/>
      <c r="M43" s="105"/>
      <c r="N43" s="105"/>
      <c r="O43" s="84"/>
      <c r="P43" s="84"/>
    </row>
    <row r="44" spans="1:16" ht="15.75" x14ac:dyDescent="0.25">
      <c r="A44" s="61" t="s">
        <v>251</v>
      </c>
      <c r="B44" s="62" t="s">
        <v>252</v>
      </c>
      <c r="C44" s="63" t="s">
        <v>123</v>
      </c>
      <c r="D44" s="63">
        <v>0.04</v>
      </c>
      <c r="E44" s="63">
        <v>10.15</v>
      </c>
      <c r="F44" s="63">
        <v>0.41</v>
      </c>
      <c r="G44" s="37"/>
      <c r="H44" s="105"/>
      <c r="I44" s="105"/>
      <c r="J44" s="105"/>
      <c r="K44" s="105"/>
      <c r="L44" s="105"/>
      <c r="M44" s="105"/>
      <c r="N44" s="105"/>
      <c r="O44" s="84"/>
      <c r="P44" s="84"/>
    </row>
    <row r="45" spans="1:16" ht="15.75" x14ac:dyDescent="0.25">
      <c r="A45" s="61" t="s">
        <v>225</v>
      </c>
      <c r="B45" s="62" t="s">
        <v>226</v>
      </c>
      <c r="C45" s="63" t="s">
        <v>37</v>
      </c>
      <c r="D45" s="63">
        <v>7.1000000000000004E-3</v>
      </c>
      <c r="E45" s="63">
        <v>138.04</v>
      </c>
      <c r="F45" s="63">
        <v>0.98</v>
      </c>
      <c r="G45" s="37"/>
      <c r="H45" s="105"/>
      <c r="I45" s="105"/>
      <c r="J45" s="105"/>
      <c r="K45" s="105"/>
      <c r="L45" s="105"/>
      <c r="M45" s="105"/>
      <c r="N45" s="105"/>
      <c r="O45" s="84"/>
      <c r="P45" s="84"/>
    </row>
    <row r="46" spans="1:16" ht="15.75" x14ac:dyDescent="0.25">
      <c r="A46" s="61" t="s">
        <v>227</v>
      </c>
      <c r="B46" s="62" t="s">
        <v>228</v>
      </c>
      <c r="C46" s="63" t="s">
        <v>180</v>
      </c>
      <c r="D46" s="63">
        <v>8.9999999999999993E-3</v>
      </c>
      <c r="E46" s="63">
        <v>14.76</v>
      </c>
      <c r="F46" s="63">
        <v>0.13</v>
      </c>
      <c r="G46" s="37"/>
      <c r="H46" s="105"/>
      <c r="I46" s="105"/>
      <c r="J46" s="105"/>
      <c r="K46" s="105"/>
      <c r="L46" s="105"/>
      <c r="M46" s="105"/>
      <c r="N46" s="105"/>
      <c r="O46" s="84"/>
      <c r="P46" s="84"/>
    </row>
    <row r="47" spans="1:16" ht="15.75" x14ac:dyDescent="0.25">
      <c r="A47" s="61" t="s">
        <v>229</v>
      </c>
      <c r="B47" s="62" t="s">
        <v>230</v>
      </c>
      <c r="C47" s="63" t="s">
        <v>37</v>
      </c>
      <c r="D47" s="63">
        <v>0.66239999999999999</v>
      </c>
      <c r="E47" s="63">
        <v>0.9</v>
      </c>
      <c r="F47" s="63">
        <v>0.6</v>
      </c>
      <c r="G47" s="37"/>
      <c r="H47" s="105"/>
      <c r="I47" s="105"/>
      <c r="J47" s="105"/>
      <c r="K47" s="105"/>
      <c r="L47" s="105"/>
      <c r="M47" s="105"/>
      <c r="N47" s="105"/>
      <c r="O47" s="84"/>
      <c r="P47" s="84"/>
    </row>
    <row r="48" spans="1:16" ht="15.75" x14ac:dyDescent="0.25">
      <c r="A48" s="61" t="s">
        <v>231</v>
      </c>
      <c r="B48" s="62" t="s">
        <v>232</v>
      </c>
      <c r="C48" s="63" t="s">
        <v>37</v>
      </c>
      <c r="D48" s="63">
        <v>8.9999999999999993E-3</v>
      </c>
      <c r="E48" s="63">
        <v>9</v>
      </c>
      <c r="F48" s="63">
        <v>0.08</v>
      </c>
      <c r="G48" s="37"/>
      <c r="H48" s="105"/>
      <c r="I48" s="105"/>
      <c r="J48" s="105"/>
      <c r="K48" s="105"/>
      <c r="L48" s="105"/>
      <c r="M48" s="105"/>
      <c r="N48" s="105"/>
      <c r="O48" s="84"/>
      <c r="P48" s="84"/>
    </row>
    <row r="49" spans="1:16" ht="15.75" x14ac:dyDescent="0.25">
      <c r="A49" s="61" t="s">
        <v>233</v>
      </c>
      <c r="B49" s="62" t="s">
        <v>234</v>
      </c>
      <c r="C49" s="63" t="s">
        <v>37</v>
      </c>
      <c r="D49" s="63">
        <v>8.9999999999999993E-3</v>
      </c>
      <c r="E49" s="63">
        <v>19.96</v>
      </c>
      <c r="F49" s="63">
        <v>0.18</v>
      </c>
      <c r="G49" s="37"/>
      <c r="H49" s="105"/>
      <c r="I49" s="105"/>
      <c r="J49" s="105"/>
      <c r="K49" s="105"/>
      <c r="L49" s="105"/>
      <c r="M49" s="105"/>
      <c r="N49" s="105"/>
      <c r="O49" s="84"/>
      <c r="P49" s="84"/>
    </row>
    <row r="50" spans="1:16" ht="31.5" x14ac:dyDescent="0.25">
      <c r="A50" s="61" t="s">
        <v>235</v>
      </c>
      <c r="B50" s="62" t="s">
        <v>236</v>
      </c>
      <c r="C50" s="63" t="s">
        <v>24</v>
      </c>
      <c r="D50" s="63">
        <v>59395</v>
      </c>
      <c r="E50" s="63">
        <v>0.02</v>
      </c>
      <c r="F50" s="63">
        <v>0.12</v>
      </c>
      <c r="G50" s="37"/>
      <c r="H50" s="105"/>
      <c r="I50" s="105"/>
      <c r="J50" s="105"/>
      <c r="K50" s="105"/>
      <c r="L50" s="105"/>
      <c r="M50" s="105"/>
      <c r="N50" s="105"/>
      <c r="O50" s="84"/>
      <c r="P50" s="84"/>
    </row>
    <row r="51" spans="1:16" ht="15.75" x14ac:dyDescent="0.25">
      <c r="A51" s="61" t="s">
        <v>237</v>
      </c>
      <c r="B51" s="62" t="s">
        <v>238</v>
      </c>
      <c r="C51" s="63" t="s">
        <v>37</v>
      </c>
      <c r="D51" s="63">
        <v>5.0000000000000001E-4</v>
      </c>
      <c r="E51" s="63">
        <v>347.41</v>
      </c>
      <c r="F51" s="63">
        <v>0.17</v>
      </c>
      <c r="G51" s="37"/>
      <c r="H51" s="105"/>
      <c r="I51" s="105"/>
      <c r="J51" s="105"/>
      <c r="K51" s="105"/>
      <c r="L51" s="105"/>
      <c r="M51" s="105"/>
      <c r="N51" s="105"/>
      <c r="O51" s="84"/>
      <c r="P51" s="84"/>
    </row>
    <row r="52" spans="1:16" ht="15.75" x14ac:dyDescent="0.25">
      <c r="A52" s="61" t="s">
        <v>126</v>
      </c>
      <c r="B52" s="62" t="s">
        <v>127</v>
      </c>
      <c r="C52" s="63" t="s">
        <v>24</v>
      </c>
      <c r="D52" s="63">
        <v>0.50460000000000005</v>
      </c>
      <c r="E52" s="63">
        <v>13.74</v>
      </c>
      <c r="F52" s="63">
        <v>6.93</v>
      </c>
      <c r="G52" s="37"/>
      <c r="H52" s="37"/>
      <c r="I52" s="37"/>
      <c r="J52" s="37"/>
      <c r="K52" s="37"/>
      <c r="L52" s="37"/>
      <c r="M52" s="37"/>
      <c r="N52" s="37"/>
    </row>
    <row r="53" spans="1:16" ht="15.75" x14ac:dyDescent="0.25">
      <c r="A53" s="61" t="s">
        <v>22</v>
      </c>
      <c r="B53" s="62" t="s">
        <v>23</v>
      </c>
      <c r="C53" s="63" t="s">
        <v>24</v>
      </c>
      <c r="D53" s="63">
        <v>34749</v>
      </c>
      <c r="E53" s="63">
        <v>9.4700000000000006</v>
      </c>
      <c r="F53" s="63">
        <v>32.909999999999997</v>
      </c>
      <c r="G53" s="37"/>
      <c r="H53" s="37"/>
      <c r="I53" s="37"/>
      <c r="J53" s="37"/>
      <c r="K53" s="37"/>
      <c r="L53" s="37"/>
      <c r="M53" s="37"/>
      <c r="N53" s="37"/>
    </row>
    <row r="54" spans="1:16" ht="31.5" x14ac:dyDescent="0.25">
      <c r="A54" s="61" t="s">
        <v>253</v>
      </c>
      <c r="B54" s="62" t="s">
        <v>254</v>
      </c>
      <c r="C54" s="63" t="s">
        <v>15</v>
      </c>
      <c r="D54" s="63">
        <v>4.8000000000000001E-2</v>
      </c>
      <c r="E54" s="63">
        <v>32.01</v>
      </c>
      <c r="F54" s="63">
        <v>1.54</v>
      </c>
      <c r="G54" s="37"/>
      <c r="H54" s="37"/>
      <c r="I54" s="37"/>
      <c r="J54" s="37"/>
      <c r="K54" s="37"/>
      <c r="L54" s="37"/>
      <c r="M54" s="37"/>
      <c r="N54" s="37"/>
    </row>
    <row r="55" spans="1:16" ht="31.5" x14ac:dyDescent="0.25">
      <c r="A55" s="61" t="s">
        <v>239</v>
      </c>
      <c r="B55" s="62" t="s">
        <v>240</v>
      </c>
      <c r="C55" s="63" t="s">
        <v>37</v>
      </c>
      <c r="D55" s="63">
        <v>6.4999999999999997E-3</v>
      </c>
      <c r="E55" s="63">
        <v>108.6</v>
      </c>
      <c r="F55" s="63">
        <v>0.71</v>
      </c>
      <c r="G55" s="37"/>
      <c r="H55" s="37"/>
      <c r="I55" s="37"/>
      <c r="J55" s="37"/>
      <c r="K55" s="37"/>
      <c r="L55" s="37"/>
      <c r="M55" s="37"/>
      <c r="N55" s="37"/>
    </row>
    <row r="56" spans="1:16" ht="15.75" x14ac:dyDescent="0.25">
      <c r="A56" s="61" t="s">
        <v>255</v>
      </c>
      <c r="B56" s="62" t="s">
        <v>256</v>
      </c>
      <c r="C56" s="63" t="s">
        <v>37</v>
      </c>
      <c r="D56" s="63">
        <v>0.4</v>
      </c>
      <c r="E56" s="63">
        <v>36.659999999999997</v>
      </c>
      <c r="F56" s="63">
        <v>14.66</v>
      </c>
      <c r="G56" s="37"/>
      <c r="H56" s="37"/>
      <c r="I56" s="37"/>
      <c r="J56" s="37"/>
      <c r="K56" s="37"/>
      <c r="L56" s="37"/>
      <c r="M56" s="37"/>
      <c r="N56" s="37"/>
    </row>
    <row r="57" spans="1:16" ht="47.25" x14ac:dyDescent="0.25">
      <c r="A57" s="61" t="s">
        <v>259</v>
      </c>
      <c r="B57" s="62" t="s">
        <v>260</v>
      </c>
      <c r="C57" s="63" t="s">
        <v>15</v>
      </c>
      <c r="D57" s="63">
        <v>1.1000000000000001</v>
      </c>
      <c r="E57" s="63">
        <v>28.25</v>
      </c>
      <c r="F57" s="63">
        <v>31.08</v>
      </c>
      <c r="G57" s="37"/>
      <c r="H57" s="37"/>
      <c r="I57" s="37"/>
      <c r="J57" s="37"/>
      <c r="K57" s="37"/>
      <c r="L57" s="37"/>
      <c r="M57" s="37"/>
      <c r="N57" s="37"/>
    </row>
    <row r="58" spans="1:16" ht="31.5" x14ac:dyDescent="0.25">
      <c r="A58" s="61" t="s">
        <v>241</v>
      </c>
      <c r="B58" s="62" t="s">
        <v>242</v>
      </c>
      <c r="C58" s="63" t="s">
        <v>24</v>
      </c>
      <c r="D58" s="63">
        <v>59395</v>
      </c>
      <c r="E58" s="63">
        <v>0.5</v>
      </c>
      <c r="F58" s="63">
        <v>2.97</v>
      </c>
      <c r="G58" s="37"/>
      <c r="H58" s="37"/>
      <c r="I58" s="37"/>
      <c r="J58" s="37"/>
      <c r="K58" s="37"/>
      <c r="L58" s="37"/>
      <c r="M58" s="37"/>
      <c r="N58" s="37"/>
    </row>
    <row r="59" spans="1:16" ht="31.5" x14ac:dyDescent="0.25">
      <c r="A59" s="61" t="s">
        <v>243</v>
      </c>
      <c r="B59" s="62" t="s">
        <v>244</v>
      </c>
      <c r="C59" s="63" t="s">
        <v>37</v>
      </c>
      <c r="D59" s="63">
        <v>4.1999999999999997E-3</v>
      </c>
      <c r="E59" s="63">
        <v>95.41</v>
      </c>
      <c r="F59" s="63">
        <v>0.4</v>
      </c>
      <c r="G59" s="37"/>
      <c r="H59" s="37"/>
      <c r="I59" s="37"/>
      <c r="J59" s="37"/>
      <c r="K59" s="37"/>
      <c r="L59" s="37"/>
      <c r="M59" s="37"/>
      <c r="N59" s="37"/>
    </row>
    <row r="60" spans="1:16" ht="31.5" x14ac:dyDescent="0.25">
      <c r="A60" s="61" t="s">
        <v>257</v>
      </c>
      <c r="B60" s="62" t="s">
        <v>258</v>
      </c>
      <c r="C60" s="63" t="s">
        <v>120</v>
      </c>
      <c r="D60" s="63">
        <v>0.72</v>
      </c>
      <c r="E60" s="63">
        <v>39.71</v>
      </c>
      <c r="F60" s="63">
        <v>28.59</v>
      </c>
      <c r="G60" s="37"/>
      <c r="H60" s="37"/>
      <c r="I60" s="37"/>
      <c r="J60" s="37"/>
      <c r="K60" s="37"/>
      <c r="L60" s="37"/>
      <c r="M60" s="37"/>
      <c r="N60" s="37"/>
    </row>
    <row r="62" spans="1:16" ht="15.75" x14ac:dyDescent="0.25">
      <c r="A62" s="37" t="s">
        <v>121</v>
      </c>
      <c r="B62" s="37"/>
      <c r="C62" s="37"/>
      <c r="D62" s="37"/>
      <c r="E62" s="37"/>
      <c r="F62" s="37"/>
    </row>
    <row r="63" spans="1:16" ht="15.75" x14ac:dyDescent="0.25">
      <c r="A63" s="37"/>
      <c r="B63" s="37"/>
      <c r="C63" s="37"/>
      <c r="D63" s="37"/>
      <c r="E63" s="37"/>
      <c r="F63" s="37"/>
    </row>
    <row r="64" spans="1:16" ht="15.75" x14ac:dyDescent="0.25">
      <c r="A64" s="37"/>
      <c r="B64" s="37"/>
      <c r="C64" s="37"/>
      <c r="D64" s="37"/>
      <c r="E64" s="37"/>
      <c r="F64" s="37"/>
    </row>
    <row r="65" spans="1:6" ht="15.75" x14ac:dyDescent="0.25">
      <c r="A65" s="326" t="s">
        <v>10</v>
      </c>
      <c r="B65" s="326"/>
      <c r="C65" s="326"/>
      <c r="D65" s="37"/>
      <c r="E65" s="37"/>
      <c r="F65" s="37"/>
    </row>
    <row r="66" spans="1:6" ht="15.75" x14ac:dyDescent="0.25">
      <c r="A66" s="60" t="s">
        <v>11</v>
      </c>
      <c r="B66" s="60" t="s">
        <v>12</v>
      </c>
      <c r="C66" s="60" t="s">
        <v>13</v>
      </c>
      <c r="D66" s="37"/>
      <c r="E66" s="37"/>
      <c r="F66" s="37"/>
    </row>
    <row r="67" spans="1:6" ht="31.5" x14ac:dyDescent="0.25">
      <c r="A67" s="61" t="s">
        <v>138</v>
      </c>
      <c r="B67" s="61" t="s">
        <v>529</v>
      </c>
      <c r="C67" s="62" t="s">
        <v>8</v>
      </c>
      <c r="D67" s="37"/>
      <c r="E67" s="37"/>
      <c r="F67" s="37"/>
    </row>
    <row r="68" spans="1:6" ht="15.75" x14ac:dyDescent="0.25">
      <c r="A68" s="37"/>
      <c r="B68" s="37"/>
      <c r="C68" s="37"/>
      <c r="D68" s="37"/>
      <c r="E68" s="37"/>
      <c r="F68" s="37"/>
    </row>
    <row r="69" spans="1:6" ht="15.75" x14ac:dyDescent="0.25">
      <c r="A69" s="326" t="s">
        <v>16</v>
      </c>
      <c r="B69" s="326"/>
      <c r="C69" s="326"/>
      <c r="D69" s="326"/>
      <c r="E69" s="326"/>
      <c r="F69" s="326"/>
    </row>
    <row r="70" spans="1:6" ht="15.75" x14ac:dyDescent="0.25">
      <c r="A70" s="60" t="s">
        <v>11</v>
      </c>
      <c r="B70" s="60" t="s">
        <v>17</v>
      </c>
      <c r="C70" s="60" t="s">
        <v>18</v>
      </c>
      <c r="D70" s="60" t="s">
        <v>19</v>
      </c>
      <c r="E70" s="60" t="s">
        <v>20</v>
      </c>
      <c r="F70" s="60" t="s">
        <v>21</v>
      </c>
    </row>
    <row r="71" spans="1:6" ht="47.25" x14ac:dyDescent="0.25">
      <c r="A71" s="61" t="s">
        <v>140</v>
      </c>
      <c r="B71" s="61" t="s">
        <v>141</v>
      </c>
      <c r="C71" s="62" t="s">
        <v>8</v>
      </c>
      <c r="D71" s="67">
        <v>1.05</v>
      </c>
      <c r="E71" s="66">
        <v>10.63</v>
      </c>
      <c r="F71" s="66">
        <f t="shared" ref="F71:F73" si="1">E71*D71</f>
        <v>11.161500000000002</v>
      </c>
    </row>
    <row r="72" spans="1:6" ht="31.5" x14ac:dyDescent="0.25">
      <c r="A72" s="61" t="s">
        <v>142</v>
      </c>
      <c r="B72" s="61" t="s">
        <v>143</v>
      </c>
      <c r="C72" s="62" t="s">
        <v>144</v>
      </c>
      <c r="D72" s="63">
        <v>0.02</v>
      </c>
      <c r="E72" s="66">
        <v>18.93</v>
      </c>
      <c r="F72" s="66">
        <f t="shared" si="1"/>
        <v>0.37859999999999999</v>
      </c>
    </row>
    <row r="73" spans="1:6" ht="15.75" x14ac:dyDescent="0.25">
      <c r="A73" s="61" t="s">
        <v>145</v>
      </c>
      <c r="B73" s="61" t="s">
        <v>146</v>
      </c>
      <c r="C73" s="62" t="s">
        <v>144</v>
      </c>
      <c r="D73" s="63">
        <v>0.1</v>
      </c>
      <c r="E73" s="66">
        <v>12</v>
      </c>
      <c r="F73" s="66">
        <f t="shared" si="1"/>
        <v>1.2000000000000002</v>
      </c>
    </row>
    <row r="74" spans="1:6" ht="15.75" x14ac:dyDescent="0.25">
      <c r="A74" s="326" t="s">
        <v>26</v>
      </c>
      <c r="B74" s="326"/>
      <c r="C74" s="326"/>
      <c r="D74" s="326"/>
      <c r="E74" s="326"/>
      <c r="F74" s="326"/>
    </row>
    <row r="75" spans="1:6" ht="31.5" x14ac:dyDescent="0.25">
      <c r="A75" s="60" t="s">
        <v>27</v>
      </c>
      <c r="B75" s="60" t="s">
        <v>28</v>
      </c>
      <c r="C75" s="60" t="s">
        <v>29</v>
      </c>
      <c r="D75" s="60" t="s">
        <v>136</v>
      </c>
      <c r="E75" s="60" t="s">
        <v>30</v>
      </c>
      <c r="F75" s="60" t="s">
        <v>31</v>
      </c>
    </row>
    <row r="76" spans="1:6" ht="15.75" x14ac:dyDescent="0.25">
      <c r="A76" s="62" t="s">
        <v>7</v>
      </c>
      <c r="B76" s="68">
        <f>SUM(F71:F71)</f>
        <v>11.161500000000002</v>
      </c>
      <c r="C76" s="68">
        <f>SUM(F72:F73)</f>
        <v>1.5786000000000002</v>
      </c>
      <c r="D76" s="62" t="s">
        <v>7</v>
      </c>
      <c r="E76" s="62" t="s">
        <v>7</v>
      </c>
      <c r="F76" s="69">
        <f>SUM(F71:F73)</f>
        <v>12.740100000000002</v>
      </c>
    </row>
    <row r="77" spans="1:6" ht="15.75" x14ac:dyDescent="0.25">
      <c r="A77" s="37"/>
      <c r="B77" s="37"/>
      <c r="C77" s="37"/>
      <c r="D77" s="37"/>
      <c r="E77" s="37"/>
      <c r="F77" s="37"/>
    </row>
    <row r="78" spans="1:6" ht="15.75" x14ac:dyDescent="0.25">
      <c r="A78" s="326" t="s">
        <v>33</v>
      </c>
      <c r="B78" s="326"/>
      <c r="C78" s="326"/>
      <c r="D78" s="326"/>
      <c r="E78" s="326"/>
      <c r="F78" s="326"/>
    </row>
    <row r="79" spans="1:6" ht="15.75" x14ac:dyDescent="0.25">
      <c r="A79" s="60" t="s">
        <v>11</v>
      </c>
      <c r="B79" s="60" t="s">
        <v>34</v>
      </c>
      <c r="C79" s="60" t="s">
        <v>18</v>
      </c>
      <c r="D79" s="60" t="s">
        <v>19</v>
      </c>
      <c r="E79" s="60" t="s">
        <v>137</v>
      </c>
      <c r="F79" s="60" t="s">
        <v>21</v>
      </c>
    </row>
    <row r="80" spans="1:6" ht="31.5" x14ac:dyDescent="0.25">
      <c r="A80" s="61" t="s">
        <v>195</v>
      </c>
      <c r="B80" s="61" t="s">
        <v>196</v>
      </c>
      <c r="C80" s="62" t="s">
        <v>24</v>
      </c>
      <c r="D80" s="63" t="s">
        <v>148</v>
      </c>
      <c r="E80" s="63" t="s">
        <v>149</v>
      </c>
      <c r="F80" s="63" t="s">
        <v>150</v>
      </c>
    </row>
    <row r="81" spans="1:6" ht="15.75" x14ac:dyDescent="0.25">
      <c r="A81" s="62" t="s">
        <v>197</v>
      </c>
      <c r="B81" s="63" t="s">
        <v>198</v>
      </c>
      <c r="C81" s="63" t="s">
        <v>37</v>
      </c>
      <c r="D81" s="63" t="s">
        <v>151</v>
      </c>
      <c r="E81" s="70" t="s">
        <v>152</v>
      </c>
      <c r="F81" s="70" t="s">
        <v>131</v>
      </c>
    </row>
    <row r="82" spans="1:6" ht="15.75" x14ac:dyDescent="0.25">
      <c r="A82" s="62" t="s">
        <v>199</v>
      </c>
      <c r="B82" s="63" t="s">
        <v>200</v>
      </c>
      <c r="C82" s="63" t="s">
        <v>37</v>
      </c>
      <c r="D82" s="63" t="s">
        <v>153</v>
      </c>
      <c r="E82" s="70" t="s">
        <v>154</v>
      </c>
      <c r="F82" s="70" t="s">
        <v>131</v>
      </c>
    </row>
    <row r="83" spans="1:6" ht="15.75" x14ac:dyDescent="0.25">
      <c r="A83" s="62" t="s">
        <v>201</v>
      </c>
      <c r="B83" s="63" t="s">
        <v>202</v>
      </c>
      <c r="C83" s="63" t="s">
        <v>37</v>
      </c>
      <c r="D83" s="63" t="s">
        <v>44</v>
      </c>
      <c r="E83" s="70" t="s">
        <v>155</v>
      </c>
      <c r="F83" s="70" t="s">
        <v>66</v>
      </c>
    </row>
    <row r="84" spans="1:6" ht="31.5" x14ac:dyDescent="0.25">
      <c r="A84" s="62" t="s">
        <v>41</v>
      </c>
      <c r="B84" s="63" t="s">
        <v>42</v>
      </c>
      <c r="C84" s="63" t="s">
        <v>43</v>
      </c>
      <c r="D84" s="63" t="s">
        <v>59</v>
      </c>
      <c r="E84" s="70" t="s">
        <v>45</v>
      </c>
      <c r="F84" s="70" t="s">
        <v>131</v>
      </c>
    </row>
    <row r="85" spans="1:6" ht="31.5" x14ac:dyDescent="0.25">
      <c r="A85" s="62" t="s">
        <v>54</v>
      </c>
      <c r="B85" s="63" t="s">
        <v>55</v>
      </c>
      <c r="C85" s="63" t="s">
        <v>37</v>
      </c>
      <c r="D85" s="63" t="s">
        <v>132</v>
      </c>
      <c r="E85" s="70" t="s">
        <v>56</v>
      </c>
      <c r="F85" s="70" t="s">
        <v>95</v>
      </c>
    </row>
    <row r="86" spans="1:6" ht="15.75" x14ac:dyDescent="0.25">
      <c r="A86" s="62" t="s">
        <v>203</v>
      </c>
      <c r="B86" s="63" t="s">
        <v>204</v>
      </c>
      <c r="C86" s="63" t="s">
        <v>24</v>
      </c>
      <c r="D86" s="63" t="s">
        <v>156</v>
      </c>
      <c r="E86" s="70" t="s">
        <v>129</v>
      </c>
      <c r="F86" s="70" t="s">
        <v>157</v>
      </c>
    </row>
    <row r="87" spans="1:6" ht="15.75" x14ac:dyDescent="0.25">
      <c r="A87" s="62" t="s">
        <v>205</v>
      </c>
      <c r="B87" s="63" t="s">
        <v>206</v>
      </c>
      <c r="C87" s="63" t="s">
        <v>37</v>
      </c>
      <c r="D87" s="63" t="s">
        <v>44</v>
      </c>
      <c r="E87" s="70" t="s">
        <v>158</v>
      </c>
      <c r="F87" s="70" t="s">
        <v>131</v>
      </c>
    </row>
    <row r="88" spans="1:6" ht="15.75" x14ac:dyDescent="0.25">
      <c r="A88" s="62" t="s">
        <v>207</v>
      </c>
      <c r="B88" s="63" t="s">
        <v>208</v>
      </c>
      <c r="C88" s="63" t="s">
        <v>37</v>
      </c>
      <c r="D88" s="63">
        <v>0</v>
      </c>
      <c r="E88" s="70" t="s">
        <v>159</v>
      </c>
      <c r="F88" s="70" t="s">
        <v>32</v>
      </c>
    </row>
    <row r="89" spans="1:6" ht="31.5" x14ac:dyDescent="0.25">
      <c r="A89" s="62" t="s">
        <v>209</v>
      </c>
      <c r="B89" s="63" t="s">
        <v>210</v>
      </c>
      <c r="C89" s="63" t="s">
        <v>37</v>
      </c>
      <c r="D89" s="63" t="s">
        <v>49</v>
      </c>
      <c r="E89" s="70" t="s">
        <v>160</v>
      </c>
      <c r="F89" s="70" t="s">
        <v>131</v>
      </c>
    </row>
    <row r="90" spans="1:6" ht="31.5" x14ac:dyDescent="0.25">
      <c r="A90" s="62" t="s">
        <v>211</v>
      </c>
      <c r="B90" s="63" t="s">
        <v>212</v>
      </c>
      <c r="C90" s="63" t="s">
        <v>24</v>
      </c>
      <c r="D90" s="63" t="s">
        <v>148</v>
      </c>
      <c r="E90" s="70" t="s">
        <v>161</v>
      </c>
      <c r="F90" s="70" t="s">
        <v>162</v>
      </c>
    </row>
    <row r="91" spans="1:6" ht="15.75" x14ac:dyDescent="0.25">
      <c r="A91" s="62" t="s">
        <v>213</v>
      </c>
      <c r="B91" s="63" t="s">
        <v>214</v>
      </c>
      <c r="C91" s="63" t="s">
        <v>37</v>
      </c>
      <c r="D91" s="63" t="s">
        <v>163</v>
      </c>
      <c r="E91" s="70" t="s">
        <v>164</v>
      </c>
      <c r="F91" s="70" t="s">
        <v>130</v>
      </c>
    </row>
    <row r="92" spans="1:6" ht="31.5" x14ac:dyDescent="0.25">
      <c r="A92" s="62" t="s">
        <v>215</v>
      </c>
      <c r="B92" s="63" t="s">
        <v>216</v>
      </c>
      <c r="C92" s="63" t="s">
        <v>15</v>
      </c>
      <c r="D92" s="63" t="s">
        <v>165</v>
      </c>
      <c r="E92" s="70" t="s">
        <v>166</v>
      </c>
      <c r="F92" s="70" t="s">
        <v>167</v>
      </c>
    </row>
    <row r="93" spans="1:6" ht="15.75" x14ac:dyDescent="0.25">
      <c r="A93" s="62" t="s">
        <v>217</v>
      </c>
      <c r="B93" s="63" t="s">
        <v>218</v>
      </c>
      <c r="C93" s="63" t="s">
        <v>37</v>
      </c>
      <c r="D93" s="63" t="s">
        <v>168</v>
      </c>
      <c r="E93" s="70" t="s">
        <v>169</v>
      </c>
      <c r="F93" s="70" t="s">
        <v>46</v>
      </c>
    </row>
    <row r="94" spans="1:6" ht="31.5" x14ac:dyDescent="0.25">
      <c r="A94" s="62" t="s">
        <v>219</v>
      </c>
      <c r="B94" s="63" t="s">
        <v>220</v>
      </c>
      <c r="C94" s="63" t="s">
        <v>37</v>
      </c>
      <c r="D94" s="63">
        <v>0</v>
      </c>
      <c r="E94" s="70" t="s">
        <v>170</v>
      </c>
      <c r="F94" s="70" t="s">
        <v>32</v>
      </c>
    </row>
    <row r="95" spans="1:6" ht="15.75" x14ac:dyDescent="0.25">
      <c r="A95" s="62" t="s">
        <v>71</v>
      </c>
      <c r="B95" s="63" t="s">
        <v>72</v>
      </c>
      <c r="C95" s="63" t="s">
        <v>43</v>
      </c>
      <c r="D95" s="63" t="s">
        <v>171</v>
      </c>
      <c r="E95" s="70" t="s">
        <v>74</v>
      </c>
      <c r="F95" s="70" t="s">
        <v>95</v>
      </c>
    </row>
    <row r="96" spans="1:6" ht="31.5" x14ac:dyDescent="0.25">
      <c r="A96" s="62" t="s">
        <v>221</v>
      </c>
      <c r="B96" s="63" t="s">
        <v>222</v>
      </c>
      <c r="C96" s="63" t="s">
        <v>128</v>
      </c>
      <c r="D96" s="63" t="s">
        <v>172</v>
      </c>
      <c r="E96" s="70" t="s">
        <v>173</v>
      </c>
      <c r="F96" s="70" t="s">
        <v>174</v>
      </c>
    </row>
    <row r="97" spans="1:6" ht="31.5" x14ac:dyDescent="0.25">
      <c r="A97" s="62" t="s">
        <v>223</v>
      </c>
      <c r="B97" s="63" t="s">
        <v>224</v>
      </c>
      <c r="C97" s="63" t="s">
        <v>128</v>
      </c>
      <c r="D97" s="63" t="s">
        <v>172</v>
      </c>
      <c r="E97" s="70" t="s">
        <v>175</v>
      </c>
      <c r="F97" s="70" t="s">
        <v>176</v>
      </c>
    </row>
    <row r="98" spans="1:6" ht="15.75" x14ac:dyDescent="0.25">
      <c r="A98" s="62" t="s">
        <v>225</v>
      </c>
      <c r="B98" s="63" t="s">
        <v>226</v>
      </c>
      <c r="C98" s="63" t="s">
        <v>37</v>
      </c>
      <c r="D98" s="63" t="s">
        <v>177</v>
      </c>
      <c r="E98" s="70" t="s">
        <v>178</v>
      </c>
      <c r="F98" s="70" t="s">
        <v>179</v>
      </c>
    </row>
    <row r="99" spans="1:6" ht="15.75" x14ac:dyDescent="0.25">
      <c r="A99" s="70" t="s">
        <v>227</v>
      </c>
      <c r="B99" s="70" t="s">
        <v>228</v>
      </c>
      <c r="C99" s="70" t="s">
        <v>180</v>
      </c>
      <c r="D99" s="70" t="s">
        <v>134</v>
      </c>
      <c r="E99" s="70" t="s">
        <v>181</v>
      </c>
      <c r="F99" s="70" t="s">
        <v>133</v>
      </c>
    </row>
    <row r="100" spans="1:6" ht="15.75" x14ac:dyDescent="0.25">
      <c r="A100" s="70" t="s">
        <v>229</v>
      </c>
      <c r="B100" s="70" t="s">
        <v>230</v>
      </c>
      <c r="C100" s="70" t="s">
        <v>37</v>
      </c>
      <c r="D100" s="70" t="s">
        <v>182</v>
      </c>
      <c r="E100" s="70" t="s">
        <v>183</v>
      </c>
      <c r="F100" s="70" t="s">
        <v>95</v>
      </c>
    </row>
    <row r="101" spans="1:6" ht="15.75" x14ac:dyDescent="0.25">
      <c r="A101" s="70" t="s">
        <v>231</v>
      </c>
      <c r="B101" s="70" t="s">
        <v>232</v>
      </c>
      <c r="C101" s="70" t="s">
        <v>37</v>
      </c>
      <c r="D101" s="70" t="s">
        <v>134</v>
      </c>
      <c r="E101" s="70" t="s">
        <v>184</v>
      </c>
      <c r="F101" s="70" t="s">
        <v>46</v>
      </c>
    </row>
    <row r="102" spans="1:6" ht="15.75" x14ac:dyDescent="0.25">
      <c r="A102" s="70" t="s">
        <v>233</v>
      </c>
      <c r="B102" s="70" t="s">
        <v>234</v>
      </c>
      <c r="C102" s="70" t="s">
        <v>37</v>
      </c>
      <c r="D102" s="70" t="s">
        <v>134</v>
      </c>
      <c r="E102" s="70" t="s">
        <v>185</v>
      </c>
      <c r="F102" s="70" t="s">
        <v>133</v>
      </c>
    </row>
    <row r="103" spans="1:6" ht="15.75" x14ac:dyDescent="0.25">
      <c r="A103" s="70" t="s">
        <v>235</v>
      </c>
      <c r="B103" s="70" t="s">
        <v>236</v>
      </c>
      <c r="C103" s="70" t="s">
        <v>24</v>
      </c>
      <c r="D103" s="70" t="s">
        <v>148</v>
      </c>
      <c r="E103" s="70" t="s">
        <v>133</v>
      </c>
      <c r="F103" s="70" t="s">
        <v>133</v>
      </c>
    </row>
    <row r="104" spans="1:6" ht="15.75" x14ac:dyDescent="0.25">
      <c r="A104" s="70" t="s">
        <v>237</v>
      </c>
      <c r="B104" s="70" t="s">
        <v>238</v>
      </c>
      <c r="C104" s="70" t="s">
        <v>37</v>
      </c>
      <c r="D104" s="70" t="s">
        <v>49</v>
      </c>
      <c r="E104" s="70" t="s">
        <v>186</v>
      </c>
      <c r="F104" s="70" t="s">
        <v>66</v>
      </c>
    </row>
    <row r="105" spans="1:6" ht="15.75" x14ac:dyDescent="0.25">
      <c r="A105" s="70" t="s">
        <v>22</v>
      </c>
      <c r="B105" s="70" t="s">
        <v>23</v>
      </c>
      <c r="C105" s="70" t="s">
        <v>24</v>
      </c>
      <c r="D105" s="70" t="s">
        <v>187</v>
      </c>
      <c r="E105" s="70" t="s">
        <v>99</v>
      </c>
      <c r="F105" s="70" t="s">
        <v>188</v>
      </c>
    </row>
    <row r="106" spans="1:6" ht="15.75" x14ac:dyDescent="0.25">
      <c r="A106" s="70" t="s">
        <v>239</v>
      </c>
      <c r="B106" s="70" t="s">
        <v>240</v>
      </c>
      <c r="C106" s="70" t="s">
        <v>37</v>
      </c>
      <c r="D106" s="70" t="s">
        <v>189</v>
      </c>
      <c r="E106" s="70" t="s">
        <v>190</v>
      </c>
      <c r="F106" s="70" t="s">
        <v>108</v>
      </c>
    </row>
    <row r="107" spans="1:6" ht="15.75" x14ac:dyDescent="0.25">
      <c r="A107" s="70" t="s">
        <v>241</v>
      </c>
      <c r="B107" s="70" t="s">
        <v>242</v>
      </c>
      <c r="C107" s="70" t="s">
        <v>24</v>
      </c>
      <c r="D107" s="70" t="s">
        <v>148</v>
      </c>
      <c r="E107" s="70" t="s">
        <v>191</v>
      </c>
      <c r="F107" s="70" t="s">
        <v>192</v>
      </c>
    </row>
    <row r="108" spans="1:6" ht="15.75" x14ac:dyDescent="0.25">
      <c r="A108" s="70" t="s">
        <v>243</v>
      </c>
      <c r="B108" s="70" t="s">
        <v>244</v>
      </c>
      <c r="C108" s="70" t="s">
        <v>37</v>
      </c>
      <c r="D108" s="70" t="s">
        <v>132</v>
      </c>
      <c r="E108" s="70" t="s">
        <v>193</v>
      </c>
      <c r="F108" s="70" t="s">
        <v>135</v>
      </c>
    </row>
    <row r="109" spans="1:6" ht="15.75" x14ac:dyDescent="0.25">
      <c r="A109" s="70" t="s">
        <v>245</v>
      </c>
      <c r="B109" s="70" t="s">
        <v>246</v>
      </c>
      <c r="C109" s="70" t="s">
        <v>120</v>
      </c>
      <c r="D109" s="70">
        <v>1</v>
      </c>
      <c r="E109" s="70" t="s">
        <v>194</v>
      </c>
      <c r="F109" s="70" t="s">
        <v>194</v>
      </c>
    </row>
    <row r="111" spans="1:6" ht="15.75" x14ac:dyDescent="0.25">
      <c r="A111" s="37" t="s">
        <v>247</v>
      </c>
      <c r="B111" s="37"/>
      <c r="C111" s="37"/>
      <c r="D111" s="37"/>
      <c r="E111" s="37"/>
      <c r="F111" s="37"/>
    </row>
    <row r="112" spans="1:6" ht="15.75" x14ac:dyDescent="0.25">
      <c r="A112" s="37"/>
      <c r="B112" s="37"/>
      <c r="C112" s="37"/>
      <c r="D112" s="37"/>
      <c r="E112" s="37"/>
      <c r="F112" s="37"/>
    </row>
    <row r="113" spans="1:6" ht="15.75" x14ac:dyDescent="0.25">
      <c r="A113" s="37"/>
      <c r="B113" s="37"/>
      <c r="C113" s="37"/>
      <c r="D113" s="37"/>
      <c r="E113" s="37"/>
      <c r="F113" s="37"/>
    </row>
    <row r="114" spans="1:6" ht="15.75" x14ac:dyDescent="0.25">
      <c r="A114" s="326" t="s">
        <v>10</v>
      </c>
      <c r="B114" s="326"/>
      <c r="C114" s="326"/>
      <c r="D114" s="37"/>
      <c r="E114" s="37"/>
      <c r="F114" s="37"/>
    </row>
    <row r="115" spans="1:6" ht="15.75" x14ac:dyDescent="0.25">
      <c r="A115" s="60" t="s">
        <v>11</v>
      </c>
      <c r="B115" s="60" t="s">
        <v>12</v>
      </c>
      <c r="C115" s="60" t="s">
        <v>13</v>
      </c>
      <c r="D115" s="37"/>
      <c r="E115" s="37"/>
      <c r="F115" s="37"/>
    </row>
    <row r="116" spans="1:6" ht="31.5" x14ac:dyDescent="0.25">
      <c r="A116" s="61" t="s">
        <v>14</v>
      </c>
      <c r="B116" s="61" t="s">
        <v>552</v>
      </c>
      <c r="C116" s="62" t="s">
        <v>4</v>
      </c>
      <c r="D116" s="37"/>
      <c r="E116" s="37"/>
      <c r="F116" s="37"/>
    </row>
    <row r="117" spans="1:6" ht="15.75" x14ac:dyDescent="0.25">
      <c r="A117" s="37"/>
      <c r="B117" s="37"/>
      <c r="C117" s="37"/>
      <c r="D117" s="37"/>
      <c r="E117" s="37"/>
      <c r="F117" s="37"/>
    </row>
    <row r="118" spans="1:6" ht="15.75" x14ac:dyDescent="0.25">
      <c r="A118" s="326" t="s">
        <v>16</v>
      </c>
      <c r="B118" s="326"/>
      <c r="C118" s="326"/>
      <c r="D118" s="326"/>
      <c r="E118" s="326"/>
      <c r="F118" s="326"/>
    </row>
    <row r="119" spans="1:6" ht="15.75" x14ac:dyDescent="0.25">
      <c r="A119" s="60" t="s">
        <v>11</v>
      </c>
      <c r="B119" s="60" t="s">
        <v>17</v>
      </c>
      <c r="C119" s="60" t="s">
        <v>18</v>
      </c>
      <c r="D119" s="60" t="s">
        <v>19</v>
      </c>
      <c r="E119" s="60" t="s">
        <v>20</v>
      </c>
      <c r="F119" s="60" t="s">
        <v>21</v>
      </c>
    </row>
    <row r="120" spans="1:6" ht="15.75" x14ac:dyDescent="0.25">
      <c r="A120" s="141"/>
      <c r="B120" s="141"/>
      <c r="C120" s="141"/>
      <c r="D120" s="141"/>
      <c r="E120" s="141"/>
      <c r="F120" s="141"/>
    </row>
    <row r="121" spans="1:6" ht="31.5" x14ac:dyDescent="0.25">
      <c r="A121" s="61">
        <v>370</v>
      </c>
      <c r="B121" s="61" t="s">
        <v>327</v>
      </c>
      <c r="C121" s="62" t="s">
        <v>248</v>
      </c>
      <c r="D121" s="65">
        <v>0.12</v>
      </c>
      <c r="E121" s="66">
        <v>53.57</v>
      </c>
      <c r="F121" s="66">
        <f>E121*D121</f>
        <v>6.4283999999999999</v>
      </c>
    </row>
    <row r="122" spans="1:6" ht="15.75" x14ac:dyDescent="0.25">
      <c r="A122" s="61">
        <v>7253</v>
      </c>
      <c r="B122" s="61" t="s">
        <v>294</v>
      </c>
      <c r="C122" s="62" t="s">
        <v>248</v>
      </c>
      <c r="D122" s="65">
        <v>0.08</v>
      </c>
      <c r="E122" s="66">
        <v>53.57</v>
      </c>
      <c r="F122" s="66">
        <f>E122*D122</f>
        <v>4.2856000000000005</v>
      </c>
    </row>
    <row r="123" spans="1:6" ht="15.75" x14ac:dyDescent="0.25">
      <c r="A123" s="61">
        <v>3123</v>
      </c>
      <c r="B123" s="61" t="s">
        <v>550</v>
      </c>
      <c r="C123" s="62" t="s">
        <v>123</v>
      </c>
      <c r="D123" s="65">
        <v>0.1</v>
      </c>
      <c r="E123" s="66">
        <v>1.53</v>
      </c>
      <c r="F123" s="66">
        <f>E123*D123</f>
        <v>0.15300000000000002</v>
      </c>
    </row>
    <row r="124" spans="1:6" ht="31.5" x14ac:dyDescent="0.25">
      <c r="A124" s="61">
        <v>38125</v>
      </c>
      <c r="B124" s="61" t="s">
        <v>551</v>
      </c>
      <c r="C124" s="62" t="s">
        <v>123</v>
      </c>
      <c r="D124" s="65">
        <v>2.5</v>
      </c>
      <c r="E124" s="66">
        <v>0.51</v>
      </c>
      <c r="F124" s="66">
        <f>E124*D124</f>
        <v>1.2749999999999999</v>
      </c>
    </row>
    <row r="125" spans="1:6" ht="15.75" x14ac:dyDescent="0.25">
      <c r="A125" s="61">
        <v>88316</v>
      </c>
      <c r="B125" s="61" t="s">
        <v>146</v>
      </c>
      <c r="C125" s="62" t="s">
        <v>144</v>
      </c>
      <c r="D125" s="65">
        <v>0.2</v>
      </c>
      <c r="E125" s="66">
        <v>12</v>
      </c>
      <c r="F125" s="66">
        <f>E125*D125</f>
        <v>2.4000000000000004</v>
      </c>
    </row>
    <row r="126" spans="1:6" ht="15.75" x14ac:dyDescent="0.25">
      <c r="A126" s="326" t="s">
        <v>26</v>
      </c>
      <c r="B126" s="326"/>
      <c r="C126" s="326"/>
      <c r="D126" s="326"/>
      <c r="E126" s="326"/>
      <c r="F126" s="326"/>
    </row>
    <row r="127" spans="1:6" ht="31.5" x14ac:dyDescent="0.25">
      <c r="A127" s="60" t="s">
        <v>27</v>
      </c>
      <c r="B127" s="60" t="s">
        <v>28</v>
      </c>
      <c r="C127" s="60" t="s">
        <v>29</v>
      </c>
      <c r="D127" s="60" t="s">
        <v>136</v>
      </c>
      <c r="E127" s="60" t="s">
        <v>30</v>
      </c>
      <c r="F127" s="60" t="s">
        <v>31</v>
      </c>
    </row>
    <row r="128" spans="1:6" ht="15.75" x14ac:dyDescent="0.25">
      <c r="A128" s="62" t="s">
        <v>7</v>
      </c>
      <c r="B128" s="68">
        <f>SUM(F121:F124)</f>
        <v>12.142000000000001</v>
      </c>
      <c r="C128" s="68">
        <f>SUM(F125:F125)</f>
        <v>2.4000000000000004</v>
      </c>
      <c r="D128" s="62" t="s">
        <v>7</v>
      </c>
      <c r="E128" s="62" t="s">
        <v>7</v>
      </c>
      <c r="F128" s="69">
        <f>SUM(A128:E128)</f>
        <v>14.542000000000002</v>
      </c>
    </row>
    <row r="129" spans="1:6" ht="15.75" x14ac:dyDescent="0.25">
      <c r="A129" s="37"/>
      <c r="B129" s="37"/>
      <c r="C129" s="37"/>
      <c r="D129" s="37"/>
      <c r="E129" s="37"/>
      <c r="F129" s="37"/>
    </row>
    <row r="130" spans="1:6" ht="15.75" x14ac:dyDescent="0.25">
      <c r="A130" s="326" t="s">
        <v>33</v>
      </c>
      <c r="B130" s="326"/>
      <c r="C130" s="326"/>
      <c r="D130" s="326"/>
      <c r="E130" s="326"/>
      <c r="F130" s="326"/>
    </row>
    <row r="131" spans="1:6" ht="15.75" x14ac:dyDescent="0.25">
      <c r="A131" s="60" t="s">
        <v>11</v>
      </c>
      <c r="B131" s="60" t="s">
        <v>34</v>
      </c>
      <c r="C131" s="60" t="s">
        <v>18</v>
      </c>
      <c r="D131" s="60" t="s">
        <v>19</v>
      </c>
      <c r="E131" s="60" t="s">
        <v>137</v>
      </c>
      <c r="F131" s="60" t="s">
        <v>21</v>
      </c>
    </row>
    <row r="132" spans="1:6" ht="15.75" x14ac:dyDescent="0.25">
      <c r="A132" s="61" t="s">
        <v>35</v>
      </c>
      <c r="B132" s="61" t="s">
        <v>36</v>
      </c>
      <c r="C132" s="62" t="s">
        <v>37</v>
      </c>
      <c r="D132" s="63" t="s">
        <v>38</v>
      </c>
      <c r="E132" s="63" t="s">
        <v>39</v>
      </c>
      <c r="F132" s="63" t="s">
        <v>40</v>
      </c>
    </row>
    <row r="133" spans="1:6" ht="31.5" x14ac:dyDescent="0.25">
      <c r="A133" s="63" t="s">
        <v>41</v>
      </c>
      <c r="B133" s="63" t="s">
        <v>42</v>
      </c>
      <c r="C133" s="63" t="s">
        <v>43</v>
      </c>
      <c r="D133" s="70" t="s">
        <v>44</v>
      </c>
      <c r="E133" s="70" t="s">
        <v>45</v>
      </c>
      <c r="F133" s="70" t="s">
        <v>46</v>
      </c>
    </row>
    <row r="134" spans="1:6" ht="31.5" x14ac:dyDescent="0.25">
      <c r="A134" s="63" t="s">
        <v>47</v>
      </c>
      <c r="B134" s="63" t="s">
        <v>48</v>
      </c>
      <c r="C134" s="63" t="s">
        <v>37</v>
      </c>
      <c r="D134" s="70" t="s">
        <v>49</v>
      </c>
      <c r="E134" s="70" t="s">
        <v>50</v>
      </c>
      <c r="F134" s="70" t="s">
        <v>32</v>
      </c>
    </row>
    <row r="135" spans="1:6" ht="31.5" x14ac:dyDescent="0.25">
      <c r="A135" s="63" t="s">
        <v>51</v>
      </c>
      <c r="B135" s="63" t="s">
        <v>52</v>
      </c>
      <c r="C135" s="63" t="s">
        <v>37</v>
      </c>
      <c r="D135" s="70" t="s">
        <v>44</v>
      </c>
      <c r="E135" s="70" t="s">
        <v>53</v>
      </c>
      <c r="F135" s="70" t="s">
        <v>32</v>
      </c>
    </row>
    <row r="136" spans="1:6" ht="31.5" x14ac:dyDescent="0.25">
      <c r="A136" s="63" t="s">
        <v>54</v>
      </c>
      <c r="B136" s="63" t="s">
        <v>55</v>
      </c>
      <c r="C136" s="63" t="s">
        <v>37</v>
      </c>
      <c r="D136" s="70" t="s">
        <v>49</v>
      </c>
      <c r="E136" s="70" t="s">
        <v>56</v>
      </c>
      <c r="F136" s="70" t="s">
        <v>46</v>
      </c>
    </row>
    <row r="137" spans="1:6" ht="15.75" x14ac:dyDescent="0.25">
      <c r="A137" s="63" t="s">
        <v>57</v>
      </c>
      <c r="B137" s="63" t="s">
        <v>58</v>
      </c>
      <c r="C137" s="63" t="s">
        <v>37</v>
      </c>
      <c r="D137" s="70" t="s">
        <v>59</v>
      </c>
      <c r="E137" s="70" t="s">
        <v>60</v>
      </c>
      <c r="F137" s="70" t="s">
        <v>61</v>
      </c>
    </row>
    <row r="138" spans="1:6" ht="15.75" x14ac:dyDescent="0.25">
      <c r="A138" s="63" t="s">
        <v>62</v>
      </c>
      <c r="B138" s="63" t="s">
        <v>63</v>
      </c>
      <c r="C138" s="63" t="s">
        <v>64</v>
      </c>
      <c r="D138" s="70" t="s">
        <v>49</v>
      </c>
      <c r="E138" s="70" t="s">
        <v>65</v>
      </c>
      <c r="F138" s="70" t="s">
        <v>66</v>
      </c>
    </row>
    <row r="139" spans="1:6" ht="15.75" x14ac:dyDescent="0.25">
      <c r="A139" s="63" t="s">
        <v>67</v>
      </c>
      <c r="B139" s="63" t="s">
        <v>68</v>
      </c>
      <c r="C139" s="63" t="s">
        <v>37</v>
      </c>
      <c r="D139" s="70" t="s">
        <v>69</v>
      </c>
      <c r="E139" s="70" t="s">
        <v>70</v>
      </c>
      <c r="F139" s="70" t="s">
        <v>66</v>
      </c>
    </row>
    <row r="140" spans="1:6" ht="15.75" x14ac:dyDescent="0.25">
      <c r="A140" s="63" t="s">
        <v>71</v>
      </c>
      <c r="B140" s="63" t="s">
        <v>72</v>
      </c>
      <c r="C140" s="63" t="s">
        <v>43</v>
      </c>
      <c r="D140" s="70" t="s">
        <v>73</v>
      </c>
      <c r="E140" s="70" t="s">
        <v>74</v>
      </c>
      <c r="F140" s="70" t="s">
        <v>46</v>
      </c>
    </row>
    <row r="141" spans="1:6" ht="15.75" x14ac:dyDescent="0.25">
      <c r="A141" s="63" t="s">
        <v>75</v>
      </c>
      <c r="B141" s="63" t="s">
        <v>76</v>
      </c>
      <c r="C141" s="63" t="s">
        <v>37</v>
      </c>
      <c r="D141" s="70">
        <v>0</v>
      </c>
      <c r="E141" s="70" t="s">
        <v>77</v>
      </c>
      <c r="F141" s="70" t="s">
        <v>32</v>
      </c>
    </row>
    <row r="142" spans="1:6" ht="15.75" x14ac:dyDescent="0.25">
      <c r="A142" s="63" t="s">
        <v>78</v>
      </c>
      <c r="B142" s="63" t="s">
        <v>79</v>
      </c>
      <c r="C142" s="63" t="s">
        <v>80</v>
      </c>
      <c r="D142" s="70" t="s">
        <v>44</v>
      </c>
      <c r="E142" s="70" t="s">
        <v>81</v>
      </c>
      <c r="F142" s="70" t="s">
        <v>32</v>
      </c>
    </row>
    <row r="143" spans="1:6" ht="15.75" x14ac:dyDescent="0.25">
      <c r="A143" s="63" t="s">
        <v>82</v>
      </c>
      <c r="B143" s="63" t="s">
        <v>83</v>
      </c>
      <c r="C143" s="63" t="s">
        <v>37</v>
      </c>
      <c r="D143" s="70" t="s">
        <v>49</v>
      </c>
      <c r="E143" s="70" t="s">
        <v>84</v>
      </c>
      <c r="F143" s="70" t="s">
        <v>32</v>
      </c>
    </row>
    <row r="144" spans="1:6" ht="15.75" x14ac:dyDescent="0.25">
      <c r="A144" s="63" t="s">
        <v>85</v>
      </c>
      <c r="B144" s="63" t="s">
        <v>86</v>
      </c>
      <c r="C144" s="63" t="s">
        <v>37</v>
      </c>
      <c r="D144" s="70" t="s">
        <v>59</v>
      </c>
      <c r="E144" s="70" t="s">
        <v>87</v>
      </c>
      <c r="F144" s="70" t="s">
        <v>32</v>
      </c>
    </row>
    <row r="145" spans="1:7" ht="15.75" x14ac:dyDescent="0.25">
      <c r="A145" s="63" t="s">
        <v>88</v>
      </c>
      <c r="B145" s="63" t="s">
        <v>89</v>
      </c>
      <c r="C145" s="63" t="s">
        <v>37</v>
      </c>
      <c r="D145" s="70" t="s">
        <v>90</v>
      </c>
      <c r="E145" s="70" t="s">
        <v>91</v>
      </c>
      <c r="F145" s="70" t="s">
        <v>46</v>
      </c>
    </row>
    <row r="146" spans="1:7" ht="31.5" x14ac:dyDescent="0.25">
      <c r="A146" s="63" t="s">
        <v>92</v>
      </c>
      <c r="B146" s="63" t="s">
        <v>93</v>
      </c>
      <c r="C146" s="63" t="s">
        <v>37</v>
      </c>
      <c r="D146" s="70" t="s">
        <v>38</v>
      </c>
      <c r="E146" s="70" t="s">
        <v>94</v>
      </c>
      <c r="F146" s="70" t="s">
        <v>95</v>
      </c>
    </row>
    <row r="147" spans="1:7" ht="15.75" x14ac:dyDescent="0.25">
      <c r="A147" s="63" t="s">
        <v>96</v>
      </c>
      <c r="B147" s="63" t="s">
        <v>97</v>
      </c>
      <c r="C147" s="63" t="s">
        <v>37</v>
      </c>
      <c r="D147" s="70" t="s">
        <v>59</v>
      </c>
      <c r="E147" s="70" t="s">
        <v>98</v>
      </c>
      <c r="F147" s="70" t="s">
        <v>46</v>
      </c>
    </row>
    <row r="148" spans="1:7" ht="15.75" x14ac:dyDescent="0.25">
      <c r="A148" s="63" t="s">
        <v>22</v>
      </c>
      <c r="B148" s="63" t="s">
        <v>23</v>
      </c>
      <c r="C148" s="63" t="s">
        <v>24</v>
      </c>
      <c r="D148" s="70" t="s">
        <v>25</v>
      </c>
      <c r="E148" s="70" t="s">
        <v>99</v>
      </c>
      <c r="F148" s="70" t="s">
        <v>100</v>
      </c>
    </row>
    <row r="149" spans="1:7" ht="15.75" x14ac:dyDescent="0.25">
      <c r="A149" s="63" t="s">
        <v>101</v>
      </c>
      <c r="B149" s="63" t="s">
        <v>102</v>
      </c>
      <c r="C149" s="63" t="s">
        <v>37</v>
      </c>
      <c r="D149" s="70" t="s">
        <v>49</v>
      </c>
      <c r="E149" s="70" t="s">
        <v>103</v>
      </c>
      <c r="F149" s="70" t="s">
        <v>32</v>
      </c>
    </row>
    <row r="150" spans="1:7" ht="15.75" x14ac:dyDescent="0.25">
      <c r="A150" s="63" t="s">
        <v>104</v>
      </c>
      <c r="B150" s="63" t="s">
        <v>105</v>
      </c>
      <c r="C150" s="63" t="s">
        <v>37</v>
      </c>
      <c r="D150" s="70" t="s">
        <v>106</v>
      </c>
      <c r="E150" s="70" t="s">
        <v>107</v>
      </c>
      <c r="F150" s="70" t="s">
        <v>108</v>
      </c>
    </row>
    <row r="154" spans="1:7" ht="15.75" x14ac:dyDescent="0.25">
      <c r="A154" s="110" t="s">
        <v>504</v>
      </c>
      <c r="B154" s="97"/>
      <c r="C154" s="97"/>
      <c r="D154" s="97"/>
      <c r="E154" s="97"/>
      <c r="F154" s="97"/>
      <c r="G154" s="97"/>
    </row>
    <row r="155" spans="1:7" ht="15.75" x14ac:dyDescent="0.25">
      <c r="A155" s="110"/>
      <c r="B155" s="110"/>
      <c r="C155" s="110"/>
      <c r="D155" s="110"/>
      <c r="E155" s="110"/>
      <c r="F155" s="110"/>
      <c r="G155" s="110"/>
    </row>
    <row r="156" spans="1:7" ht="15.75" x14ac:dyDescent="0.25">
      <c r="A156" s="327" t="s">
        <v>10</v>
      </c>
      <c r="B156" s="328"/>
      <c r="C156" s="328"/>
      <c r="D156" s="328"/>
      <c r="E156" s="110"/>
      <c r="F156" s="110"/>
      <c r="G156" s="110"/>
    </row>
    <row r="157" spans="1:7" ht="15.75" x14ac:dyDescent="0.25">
      <c r="A157" s="86" t="s">
        <v>11</v>
      </c>
      <c r="B157" s="86" t="s">
        <v>12</v>
      </c>
      <c r="C157" s="86" t="s">
        <v>13</v>
      </c>
      <c r="D157" s="86" t="s">
        <v>31</v>
      </c>
      <c r="F157" s="110"/>
      <c r="G157" s="110"/>
    </row>
    <row r="158" spans="1:7" ht="31.5" x14ac:dyDescent="0.25">
      <c r="A158" s="71" t="str">
        <f>A160</f>
        <v>72285/SINAPI</v>
      </c>
      <c r="B158" s="61" t="str">
        <f>B160</f>
        <v>CAIXA DE AREIA 40X40X40CM EM ALVENARIA - EXECUÇÃO</v>
      </c>
      <c r="C158" s="71" t="s">
        <v>5</v>
      </c>
      <c r="D158" s="111">
        <f>SUM(F161:F167)</f>
        <v>161.11835000000002</v>
      </c>
      <c r="F158" s="110"/>
      <c r="G158" s="110"/>
    </row>
    <row r="159" spans="1:7" ht="15.75" x14ac:dyDescent="0.25">
      <c r="A159" s="110"/>
      <c r="B159" s="110"/>
      <c r="C159" s="110"/>
      <c r="D159" s="110"/>
      <c r="E159" s="110"/>
      <c r="F159" s="110"/>
      <c r="G159" s="110"/>
    </row>
    <row r="160" spans="1:7" ht="31.5" x14ac:dyDescent="0.25">
      <c r="A160" s="112" t="s">
        <v>505</v>
      </c>
      <c r="B160" s="72" t="s">
        <v>325</v>
      </c>
      <c r="C160" s="112" t="s">
        <v>326</v>
      </c>
      <c r="D160" s="85" t="s">
        <v>19</v>
      </c>
      <c r="E160" s="85" t="s">
        <v>20</v>
      </c>
      <c r="F160" s="85" t="s">
        <v>21</v>
      </c>
    </row>
    <row r="161" spans="1:6" ht="15.75" x14ac:dyDescent="0.25">
      <c r="A161" s="115" t="s">
        <v>340</v>
      </c>
      <c r="B161" s="113" t="s">
        <v>341</v>
      </c>
      <c r="C161" s="112" t="s">
        <v>326</v>
      </c>
      <c r="D161" s="112">
        <v>1</v>
      </c>
      <c r="E161" s="116">
        <v>91.88</v>
      </c>
      <c r="F161" s="112">
        <f t="shared" ref="F161:F167" si="2">D161*E161</f>
        <v>91.88</v>
      </c>
    </row>
    <row r="162" spans="1:6" ht="15.75" x14ac:dyDescent="0.25">
      <c r="A162" s="112" t="s">
        <v>506</v>
      </c>
      <c r="B162" s="113" t="s">
        <v>327</v>
      </c>
      <c r="C162" s="112" t="s">
        <v>139</v>
      </c>
      <c r="D162" s="114" t="s">
        <v>328</v>
      </c>
      <c r="E162" s="114">
        <v>67</v>
      </c>
      <c r="F162" s="112">
        <f t="shared" si="2"/>
        <v>7.37</v>
      </c>
    </row>
    <row r="163" spans="1:6" ht="15.75" x14ac:dyDescent="0.25">
      <c r="A163" s="112" t="s">
        <v>507</v>
      </c>
      <c r="B163" s="113" t="s">
        <v>329</v>
      </c>
      <c r="C163" s="112" t="s">
        <v>330</v>
      </c>
      <c r="D163" s="114" t="s">
        <v>331</v>
      </c>
      <c r="E163" s="114">
        <v>24.09</v>
      </c>
      <c r="F163" s="112">
        <f t="shared" si="2"/>
        <v>9.8768999999999991</v>
      </c>
    </row>
    <row r="164" spans="1:6" ht="15.75" x14ac:dyDescent="0.25">
      <c r="A164" s="112" t="s">
        <v>508</v>
      </c>
      <c r="B164" s="113" t="s">
        <v>332</v>
      </c>
      <c r="C164" s="112" t="s">
        <v>139</v>
      </c>
      <c r="D164" s="114" t="s">
        <v>333</v>
      </c>
      <c r="E164" s="114">
        <v>63.25</v>
      </c>
      <c r="F164" s="112">
        <f t="shared" si="2"/>
        <v>1.96075</v>
      </c>
    </row>
    <row r="165" spans="1:6" ht="15.75" x14ac:dyDescent="0.25">
      <c r="A165" s="112" t="s">
        <v>509</v>
      </c>
      <c r="B165" s="113" t="s">
        <v>334</v>
      </c>
      <c r="C165" s="112" t="s">
        <v>326</v>
      </c>
      <c r="D165" s="114" t="s">
        <v>335</v>
      </c>
      <c r="E165" s="114">
        <v>0.41</v>
      </c>
      <c r="F165" s="112">
        <f t="shared" si="2"/>
        <v>8.1999999999999993</v>
      </c>
    </row>
    <row r="166" spans="1:6" ht="15.75" x14ac:dyDescent="0.25">
      <c r="A166" s="112" t="s">
        <v>261</v>
      </c>
      <c r="B166" s="113" t="s">
        <v>337</v>
      </c>
      <c r="C166" s="112" t="s">
        <v>144</v>
      </c>
      <c r="D166" s="114" t="s">
        <v>338</v>
      </c>
      <c r="E166" s="114">
        <v>15.88</v>
      </c>
      <c r="F166" s="112">
        <f t="shared" si="2"/>
        <v>15.5624</v>
      </c>
    </row>
    <row r="167" spans="1:6" ht="15.75" x14ac:dyDescent="0.25">
      <c r="A167" s="112" t="s">
        <v>262</v>
      </c>
      <c r="B167" s="113" t="s">
        <v>146</v>
      </c>
      <c r="C167" s="112" t="s">
        <v>144</v>
      </c>
      <c r="D167" s="114" t="s">
        <v>339</v>
      </c>
      <c r="E167" s="114">
        <v>12.69</v>
      </c>
      <c r="F167" s="112">
        <f t="shared" si="2"/>
        <v>26.268299999999996</v>
      </c>
    </row>
    <row r="170" spans="1:6" ht="15.75" x14ac:dyDescent="0.25">
      <c r="A170" s="110" t="s">
        <v>585</v>
      </c>
      <c r="B170" s="97"/>
      <c r="C170" s="97"/>
      <c r="D170" s="97"/>
      <c r="E170" s="97"/>
      <c r="F170" s="97"/>
    </row>
    <row r="171" spans="1:6" ht="15.75" x14ac:dyDescent="0.25">
      <c r="A171" s="110"/>
      <c r="B171" s="110"/>
      <c r="C171" s="110"/>
      <c r="D171" s="110"/>
      <c r="E171" s="110"/>
      <c r="F171" s="110"/>
    </row>
    <row r="172" spans="1:6" ht="15.75" x14ac:dyDescent="0.25">
      <c r="A172" s="327" t="s">
        <v>10</v>
      </c>
      <c r="B172" s="328"/>
      <c r="C172" s="328"/>
      <c r="D172" s="328"/>
      <c r="E172" s="110"/>
      <c r="F172" s="110"/>
    </row>
    <row r="173" spans="1:6" ht="15.75" x14ac:dyDescent="0.25">
      <c r="A173" s="86" t="s">
        <v>586</v>
      </c>
      <c r="B173" s="86" t="s">
        <v>12</v>
      </c>
      <c r="C173" s="86" t="s">
        <v>13</v>
      </c>
      <c r="D173" s="86" t="s">
        <v>31</v>
      </c>
      <c r="F173" s="110"/>
    </row>
    <row r="174" spans="1:6" ht="15.75" x14ac:dyDescent="0.25">
      <c r="A174" s="71" t="s">
        <v>305</v>
      </c>
      <c r="B174" s="61" t="s">
        <v>582</v>
      </c>
      <c r="C174" s="71" t="s">
        <v>5</v>
      </c>
      <c r="D174" s="111">
        <v>7494.43</v>
      </c>
      <c r="E174">
        <v>7494.43</v>
      </c>
      <c r="F174" s="110"/>
    </row>
    <row r="175" spans="1:6" ht="15.75" x14ac:dyDescent="0.25">
      <c r="A175" s="110"/>
      <c r="B175" s="110"/>
      <c r="C175" s="110"/>
      <c r="D175" s="110"/>
      <c r="E175" s="110"/>
      <c r="F175" s="110"/>
    </row>
    <row r="176" spans="1:6" ht="15.75" x14ac:dyDescent="0.25">
      <c r="A176" s="112"/>
      <c r="B176" s="61" t="s">
        <v>582</v>
      </c>
      <c r="C176" s="112" t="s">
        <v>326</v>
      </c>
      <c r="D176" s="142" t="s">
        <v>19</v>
      </c>
      <c r="E176" s="142" t="s">
        <v>20</v>
      </c>
      <c r="F176" s="142" t="s">
        <v>21</v>
      </c>
    </row>
    <row r="177" spans="1:6" ht="47.25" x14ac:dyDescent="0.25">
      <c r="A177" s="19">
        <v>93358</v>
      </c>
      <c r="B177" s="20" t="s">
        <v>317</v>
      </c>
      <c r="C177" s="112" t="s">
        <v>139</v>
      </c>
      <c r="D177" s="163">
        <f>2.4*2.9*2.9</f>
        <v>20.184000000000001</v>
      </c>
      <c r="E177" s="53">
        <v>50.2</v>
      </c>
      <c r="F177" s="164">
        <f t="shared" ref="F177:F184" si="3">D177*E177</f>
        <v>1013.2368000000001</v>
      </c>
    </row>
    <row r="178" spans="1:6" ht="63" x14ac:dyDescent="0.25">
      <c r="A178" s="112">
        <v>72131</v>
      </c>
      <c r="B178" s="72" t="s">
        <v>587</v>
      </c>
      <c r="C178" s="112" t="s">
        <v>588</v>
      </c>
      <c r="D178" s="163">
        <f>(2.9+2.4)*2.9*2</f>
        <v>30.74</v>
      </c>
      <c r="E178" s="164">
        <v>99.82</v>
      </c>
      <c r="F178" s="164">
        <f t="shared" si="3"/>
        <v>3068.4667999999997</v>
      </c>
    </row>
    <row r="179" spans="1:6" ht="78.75" x14ac:dyDescent="0.25">
      <c r="A179" s="19" t="s">
        <v>589</v>
      </c>
      <c r="B179" s="20" t="s">
        <v>590</v>
      </c>
      <c r="C179" s="112" t="s">
        <v>588</v>
      </c>
      <c r="D179" s="163">
        <f>2.9*2.4</f>
        <v>6.96</v>
      </c>
      <c r="E179" s="165">
        <v>78.09</v>
      </c>
      <c r="F179" s="164">
        <f t="shared" si="3"/>
        <v>543.50639999999999</v>
      </c>
    </row>
    <row r="180" spans="1:6" ht="47.25" x14ac:dyDescent="0.25">
      <c r="A180" s="146">
        <v>83534</v>
      </c>
      <c r="B180" s="147" t="s">
        <v>555</v>
      </c>
      <c r="C180" s="148" t="s">
        <v>248</v>
      </c>
      <c r="D180" s="163">
        <f>2.9*2.4*0.2</f>
        <v>1.3920000000000001</v>
      </c>
      <c r="E180" s="138">
        <v>467.74</v>
      </c>
      <c r="F180" s="164">
        <f t="shared" si="3"/>
        <v>651.09408000000008</v>
      </c>
    </row>
    <row r="181" spans="1:6" ht="78.75" x14ac:dyDescent="0.25">
      <c r="A181" s="79">
        <v>87893</v>
      </c>
      <c r="B181" s="82" t="s">
        <v>591</v>
      </c>
      <c r="C181" s="80" t="s">
        <v>4</v>
      </c>
      <c r="D181" s="163">
        <f>D182</f>
        <v>34.22</v>
      </c>
      <c r="E181" s="23">
        <v>4.42</v>
      </c>
      <c r="F181" s="164">
        <f t="shared" si="3"/>
        <v>151.25239999999999</v>
      </c>
    </row>
    <row r="182" spans="1:6" ht="31.5" x14ac:dyDescent="0.25">
      <c r="A182" s="19">
        <v>3316</v>
      </c>
      <c r="B182" s="20" t="s">
        <v>592</v>
      </c>
      <c r="C182" s="21" t="s">
        <v>4</v>
      </c>
      <c r="D182" s="163">
        <f>D183</f>
        <v>34.22</v>
      </c>
      <c r="E182" s="23">
        <v>26.47</v>
      </c>
      <c r="F182" s="164">
        <f t="shared" si="3"/>
        <v>905.8033999999999</v>
      </c>
    </row>
    <row r="183" spans="1:6" ht="63" x14ac:dyDescent="0.25">
      <c r="A183" s="19">
        <v>98546</v>
      </c>
      <c r="B183" s="20" t="s">
        <v>363</v>
      </c>
      <c r="C183" s="21" t="s">
        <v>4</v>
      </c>
      <c r="D183" s="163">
        <f>D178+(D179/2)</f>
        <v>34.22</v>
      </c>
      <c r="E183" s="23">
        <v>66.37</v>
      </c>
      <c r="F183" s="164">
        <f t="shared" si="3"/>
        <v>2271.1813999999999</v>
      </c>
    </row>
    <row r="184" spans="1:6" ht="47.25" x14ac:dyDescent="0.25">
      <c r="A184" s="19">
        <v>98563</v>
      </c>
      <c r="B184" s="20" t="s">
        <v>364</v>
      </c>
      <c r="C184" s="21" t="s">
        <v>4</v>
      </c>
      <c r="D184" s="163">
        <f>D183</f>
        <v>34.22</v>
      </c>
      <c r="E184" s="23">
        <v>21.89</v>
      </c>
      <c r="F184" s="164">
        <f t="shared" si="3"/>
        <v>749.07579999999996</v>
      </c>
    </row>
    <row r="186" spans="1:6" ht="15.75" x14ac:dyDescent="0.25">
      <c r="A186" s="110" t="s">
        <v>601</v>
      </c>
      <c r="B186" s="97"/>
      <c r="C186" s="97"/>
      <c r="D186" s="97"/>
    </row>
    <row r="187" spans="1:6" ht="15.75" x14ac:dyDescent="0.25">
      <c r="A187" s="110"/>
      <c r="B187" s="110"/>
      <c r="C187" s="110"/>
      <c r="D187" s="110"/>
    </row>
    <row r="188" spans="1:6" ht="15.75" x14ac:dyDescent="0.25">
      <c r="A188" s="327" t="s">
        <v>10</v>
      </c>
      <c r="B188" s="328"/>
      <c r="C188" s="328"/>
      <c r="D188" s="328"/>
    </row>
    <row r="189" spans="1:6" ht="15.75" x14ac:dyDescent="0.25">
      <c r="A189" s="86" t="s">
        <v>586</v>
      </c>
      <c r="B189" s="86" t="s">
        <v>12</v>
      </c>
      <c r="C189" s="86" t="s">
        <v>13</v>
      </c>
      <c r="D189" s="86" t="s">
        <v>31</v>
      </c>
    </row>
    <row r="190" spans="1:6" ht="47.25" x14ac:dyDescent="0.25">
      <c r="A190" s="71" t="s">
        <v>305</v>
      </c>
      <c r="B190" s="61" t="s">
        <v>602</v>
      </c>
      <c r="C190" s="71" t="s">
        <v>5</v>
      </c>
      <c r="D190" s="111">
        <f>D191+D192</f>
        <v>14.19</v>
      </c>
    </row>
    <row r="191" spans="1:6" ht="63" x14ac:dyDescent="0.25">
      <c r="A191" s="21">
        <v>96385</v>
      </c>
      <c r="B191" s="20" t="s">
        <v>324</v>
      </c>
      <c r="C191" s="21" t="s">
        <v>248</v>
      </c>
      <c r="D191" s="166">
        <v>4.82</v>
      </c>
    </row>
    <row r="192" spans="1:6" ht="31.5" x14ac:dyDescent="0.25">
      <c r="A192" s="167" t="s">
        <v>604</v>
      </c>
      <c r="B192" s="20" t="s">
        <v>605</v>
      </c>
      <c r="C192" s="168" t="s">
        <v>603</v>
      </c>
      <c r="D192" s="168">
        <v>9.3699999999999992</v>
      </c>
    </row>
  </sheetData>
  <mergeCells count="16">
    <mergeCell ref="A188:D188"/>
    <mergeCell ref="A172:D172"/>
    <mergeCell ref="A4:C4"/>
    <mergeCell ref="A8:F8"/>
    <mergeCell ref="A15:F15"/>
    <mergeCell ref="A19:F19"/>
    <mergeCell ref="A114:C114"/>
    <mergeCell ref="A118:F118"/>
    <mergeCell ref="A126:F126"/>
    <mergeCell ref="A130:F130"/>
    <mergeCell ref="A156:D156"/>
    <mergeCell ref="H8:N8"/>
    <mergeCell ref="A65:C65"/>
    <mergeCell ref="A69:F69"/>
    <mergeCell ref="A74:F74"/>
    <mergeCell ref="A78:F78"/>
  </mergeCells>
  <conditionalFormatting sqref="A160:E160 A162:F167 F161">
    <cfRule type="expression" dxfId="9" priority="7" stopIfTrue="1">
      <formula>AND(#REF!&lt;&gt;"COMPOSICAO",#REF!&lt;&gt;"INSUMO",#REF!&lt;&gt;"")</formula>
    </cfRule>
    <cfRule type="expression" dxfId="8" priority="8" stopIfTrue="1">
      <formula>AND(OR(#REF!="COMPOSICAO",#REF!="INSUMO",#REF!&lt;&gt;""),#REF!&lt;&gt;"")</formula>
    </cfRule>
  </conditionalFormatting>
  <conditionalFormatting sqref="B161:D161">
    <cfRule type="expression" dxfId="7" priority="9" stopIfTrue="1">
      <formula>AND(#REF!&lt;&gt;"COMPOSICAO",#REF!&lt;&gt;"INSUMO",#REF!&lt;&gt;"")</formula>
    </cfRule>
    <cfRule type="expression" dxfId="6" priority="10" stopIfTrue="1">
      <formula>AND(OR(#REF!="COMPOSICAO",#REF!="INSUMO",#REF!&lt;&gt;""),#REF!&lt;&gt;"")</formula>
    </cfRule>
  </conditionalFormatting>
  <conditionalFormatting sqref="A178:F184">
    <cfRule type="expression" dxfId="5" priority="5" stopIfTrue="1">
      <formula>AND(#REF!&lt;&gt;"COMPOSICAO",#REF!&lt;&gt;"INSUMO",#REF!&lt;&gt;"")</formula>
    </cfRule>
    <cfRule type="expression" dxfId="4" priority="6" stopIfTrue="1">
      <formula>AND(OR(#REF!="COMPOSICAO",#REF!="INSUMO",#REF!&lt;&gt;""),#REF!&lt;&gt;"")</formula>
    </cfRule>
  </conditionalFormatting>
  <conditionalFormatting sqref="A176 F177 C176:E176">
    <cfRule type="expression" dxfId="3" priority="1" stopIfTrue="1">
      <formula>AND(#REF!&lt;&gt;"COMPOSICAO",#REF!&lt;&gt;"INSUMO",#REF!&lt;&gt;"")</formula>
    </cfRule>
    <cfRule type="expression" dxfId="2" priority="2" stopIfTrue="1">
      <formula>AND(OR(#REF!="COMPOSICAO",#REF!="INSUMO",#REF!&lt;&gt;""),#REF!&lt;&gt;"")</formula>
    </cfRule>
  </conditionalFormatting>
  <conditionalFormatting sqref="B177:D177">
    <cfRule type="expression" dxfId="1" priority="3" stopIfTrue="1">
      <formula>AND(#REF!&lt;&gt;"COMPOSICAO",#REF!&lt;&gt;"INSUMO",#REF!&lt;&gt;"")</formula>
    </cfRule>
    <cfRule type="expression" dxfId="0" priority="4" stopIfTrue="1">
      <formula>AND(OR(#REF!="COMPOSICAO",#REF!="INSUMO",#REF!&lt;&gt;""),#REF!&lt;&gt;"")</formula>
    </cfRule>
  </conditionalFormatting>
  <pageMargins left="0.511811024" right="0.511811024" top="0.78740157499999996" bottom="0.78740157499999996" header="0.31496062000000002" footer="0.31496062000000002"/>
  <pageSetup paperSize="9" scale="4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7"/>
  <sheetViews>
    <sheetView tabSelected="1" topLeftCell="A10" workbookViewId="0">
      <selection activeCell="F10" sqref="F10"/>
    </sheetView>
  </sheetViews>
  <sheetFormatPr defaultRowHeight="15" x14ac:dyDescent="0.25"/>
  <cols>
    <col min="2" max="2" width="73.5703125" customWidth="1"/>
  </cols>
  <sheetData>
    <row r="1" spans="1:6" ht="15.75" x14ac:dyDescent="0.25">
      <c r="A1" s="329" t="s">
        <v>375</v>
      </c>
      <c r="B1" s="329"/>
      <c r="C1" s="329"/>
      <c r="D1" s="329"/>
    </row>
    <row r="3" spans="1:6" ht="71.25" x14ac:dyDescent="0.25">
      <c r="A3" s="93" t="s">
        <v>376</v>
      </c>
      <c r="B3" s="93" t="s">
        <v>369</v>
      </c>
      <c r="C3" s="94" t="s">
        <v>326</v>
      </c>
      <c r="D3" s="94" t="s">
        <v>6</v>
      </c>
      <c r="E3" s="102" t="s">
        <v>374</v>
      </c>
      <c r="F3" s="102">
        <f>D8+D14+D21+D26+D30+D13</f>
        <v>7.9779999999999998</v>
      </c>
    </row>
    <row r="4" spans="1:6" ht="28.5" x14ac:dyDescent="0.25">
      <c r="A4" s="95" t="s">
        <v>378</v>
      </c>
      <c r="B4" s="95" t="s">
        <v>379</v>
      </c>
      <c r="C4" s="96" t="s">
        <v>326</v>
      </c>
      <c r="D4" s="96" t="s">
        <v>380</v>
      </c>
    </row>
    <row r="5" spans="1:6" ht="33.75" x14ac:dyDescent="0.25">
      <c r="A5" s="91" t="s">
        <v>390</v>
      </c>
      <c r="B5" s="91" t="s">
        <v>391</v>
      </c>
      <c r="C5" s="92" t="s">
        <v>392</v>
      </c>
      <c r="D5" s="92" t="s">
        <v>380</v>
      </c>
    </row>
    <row r="6" spans="1:6" x14ac:dyDescent="0.25">
      <c r="A6" s="91" t="s">
        <v>393</v>
      </c>
      <c r="B6" s="91" t="s">
        <v>394</v>
      </c>
      <c r="C6" s="92" t="s">
        <v>395</v>
      </c>
      <c r="D6" s="92" t="s">
        <v>396</v>
      </c>
    </row>
    <row r="7" spans="1:6" x14ac:dyDescent="0.25">
      <c r="A7" s="91" t="s">
        <v>397</v>
      </c>
      <c r="B7" s="91" t="s">
        <v>398</v>
      </c>
      <c r="C7" s="92" t="s">
        <v>395</v>
      </c>
      <c r="D7" s="92" t="s">
        <v>399</v>
      </c>
    </row>
    <row r="8" spans="1:6" x14ac:dyDescent="0.25">
      <c r="A8" s="91" t="s">
        <v>400</v>
      </c>
      <c r="B8" s="91" t="s">
        <v>401</v>
      </c>
      <c r="C8" s="92" t="s">
        <v>144</v>
      </c>
      <c r="D8" s="101">
        <v>2.968</v>
      </c>
    </row>
    <row r="9" spans="1:6" x14ac:dyDescent="0.25">
      <c r="A9" s="91" t="s">
        <v>145</v>
      </c>
      <c r="B9" s="91" t="s">
        <v>146</v>
      </c>
      <c r="C9" s="92" t="s">
        <v>144</v>
      </c>
      <c r="D9" s="92" t="s">
        <v>402</v>
      </c>
    </row>
    <row r="10" spans="1:6" ht="42.75" x14ac:dyDescent="0.25">
      <c r="A10" s="95" t="s">
        <v>381</v>
      </c>
      <c r="B10" s="95" t="s">
        <v>382</v>
      </c>
      <c r="C10" s="96" t="s">
        <v>326</v>
      </c>
      <c r="D10" s="96" t="s">
        <v>380</v>
      </c>
    </row>
    <row r="11" spans="1:6" x14ac:dyDescent="0.25">
      <c r="A11" s="89" t="s">
        <v>403</v>
      </c>
      <c r="B11" s="89" t="s">
        <v>404</v>
      </c>
      <c r="C11" s="90" t="s">
        <v>395</v>
      </c>
      <c r="D11" s="90" t="s">
        <v>405</v>
      </c>
    </row>
    <row r="12" spans="1:6" ht="22.5" x14ac:dyDescent="0.25">
      <c r="A12" s="89" t="s">
        <v>406</v>
      </c>
      <c r="B12" s="89" t="s">
        <v>407</v>
      </c>
      <c r="C12" s="90" t="s">
        <v>408</v>
      </c>
      <c r="D12" s="90" t="s">
        <v>409</v>
      </c>
    </row>
    <row r="13" spans="1:6" x14ac:dyDescent="0.25">
      <c r="A13" s="89" t="s">
        <v>400</v>
      </c>
      <c r="B13" s="89" t="s">
        <v>401</v>
      </c>
      <c r="C13" s="90" t="s">
        <v>144</v>
      </c>
      <c r="D13" s="100">
        <v>0.60299999999999998</v>
      </c>
    </row>
    <row r="14" spans="1:6" x14ac:dyDescent="0.25">
      <c r="A14" s="89" t="s">
        <v>336</v>
      </c>
      <c r="B14" s="89" t="s">
        <v>337</v>
      </c>
      <c r="C14" s="90" t="s">
        <v>144</v>
      </c>
      <c r="D14" s="100">
        <v>1.4890000000000001</v>
      </c>
    </row>
    <row r="15" spans="1:6" x14ac:dyDescent="0.25">
      <c r="A15" s="89" t="s">
        <v>145</v>
      </c>
      <c r="B15" s="89" t="s">
        <v>146</v>
      </c>
      <c r="C15" s="90" t="s">
        <v>144</v>
      </c>
      <c r="D15" s="90" t="s">
        <v>410</v>
      </c>
    </row>
    <row r="16" spans="1:6" x14ac:dyDescent="0.25">
      <c r="A16" s="89" t="s">
        <v>411</v>
      </c>
      <c r="B16" s="89" t="s">
        <v>412</v>
      </c>
      <c r="C16" s="90" t="s">
        <v>139</v>
      </c>
      <c r="D16" s="90" t="s">
        <v>413</v>
      </c>
    </row>
    <row r="17" spans="1:6" ht="42.75" x14ac:dyDescent="0.25">
      <c r="A17" s="95" t="s">
        <v>383</v>
      </c>
      <c r="B17" s="95" t="s">
        <v>384</v>
      </c>
      <c r="C17" s="96" t="s">
        <v>326</v>
      </c>
      <c r="D17" s="96" t="s">
        <v>380</v>
      </c>
      <c r="F17" s="97"/>
    </row>
    <row r="18" spans="1:6" ht="22.5" x14ac:dyDescent="0.25">
      <c r="A18" s="89" t="s">
        <v>414</v>
      </c>
      <c r="B18" s="89" t="s">
        <v>415</v>
      </c>
      <c r="C18" s="90" t="s">
        <v>326</v>
      </c>
      <c r="D18" s="90" t="s">
        <v>416</v>
      </c>
      <c r="F18" s="97"/>
    </row>
    <row r="19" spans="1:6" ht="22.5" x14ac:dyDescent="0.25">
      <c r="A19" s="89" t="s">
        <v>417</v>
      </c>
      <c r="B19" s="89" t="s">
        <v>418</v>
      </c>
      <c r="C19" s="90" t="s">
        <v>326</v>
      </c>
      <c r="D19" s="90" t="s">
        <v>380</v>
      </c>
      <c r="F19" s="97"/>
    </row>
    <row r="20" spans="1:6" x14ac:dyDescent="0.25">
      <c r="A20" s="89" t="s">
        <v>419</v>
      </c>
      <c r="B20" s="89" t="s">
        <v>420</v>
      </c>
      <c r="C20" s="90" t="s">
        <v>326</v>
      </c>
      <c r="D20" s="90" t="s">
        <v>421</v>
      </c>
      <c r="F20" s="97"/>
    </row>
    <row r="21" spans="1:6" x14ac:dyDescent="0.25">
      <c r="A21" s="89" t="s">
        <v>400</v>
      </c>
      <c r="B21" s="89" t="s">
        <v>401</v>
      </c>
      <c r="C21" s="90" t="s">
        <v>144</v>
      </c>
      <c r="D21" s="100">
        <v>1.546</v>
      </c>
      <c r="F21" s="97"/>
    </row>
    <row r="22" spans="1:6" x14ac:dyDescent="0.25">
      <c r="A22" s="89" t="s">
        <v>145</v>
      </c>
      <c r="B22" s="89" t="s">
        <v>146</v>
      </c>
      <c r="C22" s="90" t="s">
        <v>144</v>
      </c>
      <c r="D22" s="90" t="s">
        <v>422</v>
      </c>
      <c r="F22" s="97"/>
    </row>
    <row r="23" spans="1:6" ht="42.75" x14ac:dyDescent="0.25">
      <c r="A23" s="95" t="s">
        <v>385</v>
      </c>
      <c r="B23" s="95" t="s">
        <v>386</v>
      </c>
      <c r="C23" s="96" t="s">
        <v>326</v>
      </c>
      <c r="D23" s="96" t="s">
        <v>387</v>
      </c>
    </row>
    <row r="24" spans="1:6" ht="22.5" x14ac:dyDescent="0.25">
      <c r="A24" s="89" t="s">
        <v>423</v>
      </c>
      <c r="B24" s="89" t="s">
        <v>424</v>
      </c>
      <c r="C24" s="90" t="s">
        <v>8</v>
      </c>
      <c r="D24" s="90" t="s">
        <v>425</v>
      </c>
    </row>
    <row r="25" spans="1:6" x14ac:dyDescent="0.25">
      <c r="A25" s="89" t="s">
        <v>426</v>
      </c>
      <c r="B25" s="89" t="s">
        <v>427</v>
      </c>
      <c r="C25" s="90" t="s">
        <v>395</v>
      </c>
      <c r="D25" s="90" t="s">
        <v>428</v>
      </c>
    </row>
    <row r="26" spans="1:6" x14ac:dyDescent="0.25">
      <c r="A26" s="89" t="s">
        <v>400</v>
      </c>
      <c r="B26" s="89" t="s">
        <v>401</v>
      </c>
      <c r="C26" s="90" t="s">
        <v>144</v>
      </c>
      <c r="D26" s="100">
        <v>0.37</v>
      </c>
    </row>
    <row r="27" spans="1:6" x14ac:dyDescent="0.25">
      <c r="A27" s="89" t="s">
        <v>145</v>
      </c>
      <c r="B27" s="89" t="s">
        <v>146</v>
      </c>
      <c r="C27" s="90" t="s">
        <v>144</v>
      </c>
      <c r="D27" s="90" t="s">
        <v>429</v>
      </c>
    </row>
    <row r="28" spans="1:6" ht="57" x14ac:dyDescent="0.25">
      <c r="A28" s="95" t="s">
        <v>388</v>
      </c>
      <c r="B28" s="95" t="s">
        <v>389</v>
      </c>
      <c r="C28" s="96" t="s">
        <v>326</v>
      </c>
      <c r="D28" s="96" t="s">
        <v>380</v>
      </c>
    </row>
    <row r="29" spans="1:6" x14ac:dyDescent="0.25">
      <c r="A29" s="98" t="s">
        <v>430</v>
      </c>
      <c r="B29" s="98" t="s">
        <v>431</v>
      </c>
      <c r="C29" s="98" t="s">
        <v>432</v>
      </c>
      <c r="D29" s="98" t="s">
        <v>380</v>
      </c>
    </row>
    <row r="30" spans="1:6" x14ac:dyDescent="0.25">
      <c r="A30" s="98" t="s">
        <v>400</v>
      </c>
      <c r="B30" s="98" t="s">
        <v>401</v>
      </c>
      <c r="C30" s="98" t="s">
        <v>144</v>
      </c>
      <c r="D30" s="99">
        <v>1.002</v>
      </c>
    </row>
    <row r="31" spans="1:6" x14ac:dyDescent="0.25">
      <c r="A31" s="98" t="s">
        <v>145</v>
      </c>
      <c r="B31" s="98" t="s">
        <v>146</v>
      </c>
      <c r="C31" s="98" t="s">
        <v>144</v>
      </c>
      <c r="D31" s="98" t="s">
        <v>433</v>
      </c>
    </row>
    <row r="33" spans="1:6" ht="42.75" x14ac:dyDescent="0.25">
      <c r="A33" s="93" t="s">
        <v>434</v>
      </c>
      <c r="B33" s="93" t="s">
        <v>367</v>
      </c>
      <c r="C33" s="93" t="s">
        <v>326</v>
      </c>
      <c r="D33" s="93" t="s">
        <v>377</v>
      </c>
      <c r="E33" s="102" t="s">
        <v>374</v>
      </c>
      <c r="F33" s="102">
        <f>D36+D39+D42+D48+D52+D57+D61+D65</f>
        <v>1.3719999999999999</v>
      </c>
    </row>
    <row r="34" spans="1:6" ht="28.5" x14ac:dyDescent="0.25">
      <c r="A34" s="95" t="s">
        <v>435</v>
      </c>
      <c r="B34" s="95" t="s">
        <v>436</v>
      </c>
      <c r="C34" s="95" t="s">
        <v>8</v>
      </c>
      <c r="D34" s="95" t="s">
        <v>437</v>
      </c>
    </row>
    <row r="35" spans="1:6" x14ac:dyDescent="0.25">
      <c r="A35" s="89" t="s">
        <v>456</v>
      </c>
      <c r="B35" s="89" t="s">
        <v>457</v>
      </c>
      <c r="C35" s="89" t="s">
        <v>144</v>
      </c>
      <c r="D35" s="89" t="s">
        <v>458</v>
      </c>
    </row>
    <row r="36" spans="1:6" x14ac:dyDescent="0.25">
      <c r="A36" s="89" t="s">
        <v>459</v>
      </c>
      <c r="B36" s="89" t="s">
        <v>460</v>
      </c>
      <c r="C36" s="89" t="s">
        <v>144</v>
      </c>
      <c r="D36" s="104">
        <v>0.216</v>
      </c>
    </row>
    <row r="37" spans="1:6" ht="28.5" x14ac:dyDescent="0.25">
      <c r="A37" s="95" t="s">
        <v>438</v>
      </c>
      <c r="B37" s="95" t="s">
        <v>439</v>
      </c>
      <c r="C37" s="95" t="s">
        <v>326</v>
      </c>
      <c r="D37" s="95" t="s">
        <v>380</v>
      </c>
    </row>
    <row r="38" spans="1:6" ht="22.5" x14ac:dyDescent="0.25">
      <c r="A38" s="89" t="s">
        <v>461</v>
      </c>
      <c r="B38" s="89" t="s">
        <v>462</v>
      </c>
      <c r="C38" s="89" t="s">
        <v>144</v>
      </c>
      <c r="D38" s="89" t="s">
        <v>463</v>
      </c>
    </row>
    <row r="39" spans="1:6" x14ac:dyDescent="0.25">
      <c r="A39" s="89" t="s">
        <v>142</v>
      </c>
      <c r="B39" s="89" t="s">
        <v>143</v>
      </c>
      <c r="C39" s="89" t="s">
        <v>144</v>
      </c>
      <c r="D39" s="104">
        <v>0.14399999999999999</v>
      </c>
    </row>
    <row r="40" spans="1:6" ht="42.75" x14ac:dyDescent="0.25">
      <c r="A40" s="95" t="s">
        <v>440</v>
      </c>
      <c r="B40" s="95" t="s">
        <v>441</v>
      </c>
      <c r="C40" s="95" t="s">
        <v>8</v>
      </c>
      <c r="D40" s="95" t="s">
        <v>437</v>
      </c>
    </row>
    <row r="41" spans="1:6" ht="22.5" x14ac:dyDescent="0.25">
      <c r="A41" s="89" t="s">
        <v>461</v>
      </c>
      <c r="B41" s="89" t="s">
        <v>462</v>
      </c>
      <c r="C41" s="89" t="s">
        <v>144</v>
      </c>
      <c r="D41" s="89" t="s">
        <v>464</v>
      </c>
    </row>
    <row r="42" spans="1:6" x14ac:dyDescent="0.25">
      <c r="A42" s="89" t="s">
        <v>142</v>
      </c>
      <c r="B42" s="89" t="s">
        <v>143</v>
      </c>
      <c r="C42" s="89" t="s">
        <v>144</v>
      </c>
      <c r="D42" s="104">
        <v>0.39100000000000001</v>
      </c>
    </row>
    <row r="43" spans="1:6" x14ac:dyDescent="0.25">
      <c r="A43" s="89" t="s">
        <v>411</v>
      </c>
      <c r="B43" s="89" t="s">
        <v>412</v>
      </c>
      <c r="C43" s="89" t="s">
        <v>139</v>
      </c>
      <c r="D43" s="89" t="s">
        <v>465</v>
      </c>
    </row>
    <row r="44" spans="1:6" ht="42.75" x14ac:dyDescent="0.25">
      <c r="A44" s="95" t="s">
        <v>442</v>
      </c>
      <c r="B44" s="95" t="s">
        <v>443</v>
      </c>
      <c r="C44" s="95" t="s">
        <v>8</v>
      </c>
      <c r="D44" s="95" t="s">
        <v>387</v>
      </c>
    </row>
    <row r="45" spans="1:6" x14ac:dyDescent="0.25">
      <c r="A45" s="89" t="s">
        <v>466</v>
      </c>
      <c r="B45" s="89" t="s">
        <v>467</v>
      </c>
      <c r="C45" s="89" t="s">
        <v>8</v>
      </c>
      <c r="D45" s="89" t="s">
        <v>468</v>
      </c>
    </row>
    <row r="46" spans="1:6" x14ac:dyDescent="0.25">
      <c r="A46" s="89" t="s">
        <v>469</v>
      </c>
      <c r="B46" s="89" t="s">
        <v>470</v>
      </c>
      <c r="C46" s="89" t="s">
        <v>395</v>
      </c>
      <c r="D46" s="89" t="s">
        <v>471</v>
      </c>
    </row>
    <row r="47" spans="1:6" x14ac:dyDescent="0.25">
      <c r="A47" s="89" t="s">
        <v>456</v>
      </c>
      <c r="B47" s="89" t="s">
        <v>457</v>
      </c>
      <c r="C47" s="89" t="s">
        <v>144</v>
      </c>
      <c r="D47" s="89" t="s">
        <v>472</v>
      </c>
    </row>
    <row r="48" spans="1:6" x14ac:dyDescent="0.25">
      <c r="A48" s="89" t="s">
        <v>459</v>
      </c>
      <c r="B48" s="89" t="s">
        <v>460</v>
      </c>
      <c r="C48" s="89" t="s">
        <v>144</v>
      </c>
      <c r="D48" s="104">
        <v>7.1999999999999995E-2</v>
      </c>
    </row>
    <row r="49" spans="1:4" ht="42.75" x14ac:dyDescent="0.25">
      <c r="A49" s="95" t="s">
        <v>444</v>
      </c>
      <c r="B49" s="95" t="s">
        <v>445</v>
      </c>
      <c r="C49" s="95" t="s">
        <v>8</v>
      </c>
      <c r="D49" s="95" t="s">
        <v>437</v>
      </c>
    </row>
    <row r="50" spans="1:4" x14ac:dyDescent="0.25">
      <c r="A50" s="89" t="s">
        <v>466</v>
      </c>
      <c r="B50" s="89" t="s">
        <v>467</v>
      </c>
      <c r="C50" s="89" t="s">
        <v>8</v>
      </c>
      <c r="D50" s="89" t="s">
        <v>473</v>
      </c>
    </row>
    <row r="51" spans="1:4" x14ac:dyDescent="0.25">
      <c r="A51" s="89" t="s">
        <v>456</v>
      </c>
      <c r="B51" s="89" t="s">
        <v>457</v>
      </c>
      <c r="C51" s="89" t="s">
        <v>144</v>
      </c>
      <c r="D51" s="89" t="s">
        <v>474</v>
      </c>
    </row>
    <row r="52" spans="1:4" x14ac:dyDescent="0.25">
      <c r="A52" s="89" t="s">
        <v>459</v>
      </c>
      <c r="B52" s="89" t="s">
        <v>460</v>
      </c>
      <c r="C52" s="89" t="s">
        <v>144</v>
      </c>
      <c r="D52" s="104">
        <v>0.129</v>
      </c>
    </row>
    <row r="53" spans="1:4" ht="42.75" x14ac:dyDescent="0.25">
      <c r="A53" s="95" t="s">
        <v>446</v>
      </c>
      <c r="B53" s="95" t="s">
        <v>447</v>
      </c>
      <c r="C53" s="95" t="s">
        <v>8</v>
      </c>
      <c r="D53" s="95" t="s">
        <v>448</v>
      </c>
    </row>
    <row r="54" spans="1:4" ht="22.5" x14ac:dyDescent="0.25">
      <c r="A54" s="89" t="s">
        <v>475</v>
      </c>
      <c r="B54" s="89" t="s">
        <v>476</v>
      </c>
      <c r="C54" s="89" t="s">
        <v>8</v>
      </c>
      <c r="D54" s="89" t="s">
        <v>477</v>
      </c>
    </row>
    <row r="55" spans="1:4" x14ac:dyDescent="0.25">
      <c r="A55" s="89" t="s">
        <v>478</v>
      </c>
      <c r="B55" s="89" t="s">
        <v>479</v>
      </c>
      <c r="C55" s="89" t="s">
        <v>326</v>
      </c>
      <c r="D55" s="89" t="s">
        <v>480</v>
      </c>
    </row>
    <row r="56" spans="1:4" x14ac:dyDescent="0.25">
      <c r="A56" s="89" t="s">
        <v>456</v>
      </c>
      <c r="B56" s="89" t="s">
        <v>457</v>
      </c>
      <c r="C56" s="89" t="s">
        <v>144</v>
      </c>
      <c r="D56" s="89" t="s">
        <v>481</v>
      </c>
    </row>
    <row r="57" spans="1:4" x14ac:dyDescent="0.25">
      <c r="A57" s="89" t="s">
        <v>459</v>
      </c>
      <c r="B57" s="89" t="s">
        <v>460</v>
      </c>
      <c r="C57" s="89" t="s">
        <v>144</v>
      </c>
      <c r="D57" s="104">
        <v>0.03</v>
      </c>
    </row>
    <row r="58" spans="1:4" ht="28.5" x14ac:dyDescent="0.25">
      <c r="A58" s="95" t="s">
        <v>449</v>
      </c>
      <c r="B58" s="95" t="s">
        <v>450</v>
      </c>
      <c r="C58" s="95" t="s">
        <v>326</v>
      </c>
      <c r="D58" s="95" t="s">
        <v>451</v>
      </c>
    </row>
    <row r="59" spans="1:4" ht="22.5" x14ac:dyDescent="0.25">
      <c r="A59" s="89" t="s">
        <v>482</v>
      </c>
      <c r="B59" s="89" t="s">
        <v>483</v>
      </c>
      <c r="C59" s="89" t="s">
        <v>326</v>
      </c>
      <c r="D59" s="89" t="s">
        <v>380</v>
      </c>
    </row>
    <row r="60" spans="1:4" x14ac:dyDescent="0.25">
      <c r="A60" s="89" t="s">
        <v>456</v>
      </c>
      <c r="B60" s="89" t="s">
        <v>457</v>
      </c>
      <c r="C60" s="89" t="s">
        <v>144</v>
      </c>
      <c r="D60" s="89" t="s">
        <v>484</v>
      </c>
    </row>
    <row r="61" spans="1:4" x14ac:dyDescent="0.25">
      <c r="A61" s="89" t="s">
        <v>459</v>
      </c>
      <c r="B61" s="89" t="s">
        <v>460</v>
      </c>
      <c r="C61" s="89" t="s">
        <v>144</v>
      </c>
      <c r="D61" s="104">
        <v>0.14299999999999999</v>
      </c>
    </row>
    <row r="62" spans="1:4" ht="42.75" x14ac:dyDescent="0.25">
      <c r="A62" s="95" t="s">
        <v>452</v>
      </c>
      <c r="B62" s="95" t="s">
        <v>453</v>
      </c>
      <c r="C62" s="95" t="s">
        <v>326</v>
      </c>
      <c r="D62" s="95" t="s">
        <v>380</v>
      </c>
    </row>
    <row r="63" spans="1:4" x14ac:dyDescent="0.25">
      <c r="A63" s="89" t="s">
        <v>485</v>
      </c>
      <c r="B63" s="89" t="s">
        <v>486</v>
      </c>
      <c r="C63" s="89" t="s">
        <v>326</v>
      </c>
      <c r="D63" s="89" t="s">
        <v>380</v>
      </c>
    </row>
    <row r="64" spans="1:4" x14ac:dyDescent="0.25">
      <c r="A64" s="89" t="s">
        <v>456</v>
      </c>
      <c r="B64" s="89" t="s">
        <v>457</v>
      </c>
      <c r="C64" s="89" t="s">
        <v>144</v>
      </c>
      <c r="D64" s="89" t="s">
        <v>487</v>
      </c>
    </row>
    <row r="65" spans="1:6" x14ac:dyDescent="0.25">
      <c r="A65" s="89" t="s">
        <v>459</v>
      </c>
      <c r="B65" s="89" t="s">
        <v>460</v>
      </c>
      <c r="C65" s="89" t="s">
        <v>144</v>
      </c>
      <c r="D65" s="104">
        <v>0.247</v>
      </c>
    </row>
    <row r="66" spans="1:6" x14ac:dyDescent="0.25">
      <c r="A66" s="89" t="s">
        <v>411</v>
      </c>
      <c r="B66" s="89" t="s">
        <v>412</v>
      </c>
      <c r="C66" s="89" t="s">
        <v>139</v>
      </c>
      <c r="D66" s="89" t="s">
        <v>488</v>
      </c>
    </row>
    <row r="67" spans="1:6" ht="42.75" x14ac:dyDescent="0.25">
      <c r="A67" s="95" t="s">
        <v>454</v>
      </c>
      <c r="B67" s="95" t="s">
        <v>455</v>
      </c>
      <c r="C67" s="95" t="s">
        <v>326</v>
      </c>
      <c r="D67" s="95" t="s">
        <v>380</v>
      </c>
    </row>
    <row r="68" spans="1:6" ht="22.5" x14ac:dyDescent="0.25">
      <c r="A68" s="89" t="s">
        <v>489</v>
      </c>
      <c r="B68" s="89" t="s">
        <v>490</v>
      </c>
      <c r="C68" s="89" t="s">
        <v>326</v>
      </c>
      <c r="D68" s="89" t="s">
        <v>380</v>
      </c>
    </row>
    <row r="69" spans="1:6" ht="22.5" x14ac:dyDescent="0.25">
      <c r="A69" s="89" t="s">
        <v>491</v>
      </c>
      <c r="B69" s="89" t="s">
        <v>492</v>
      </c>
      <c r="C69" s="89" t="s">
        <v>326</v>
      </c>
      <c r="D69" s="89" t="s">
        <v>380</v>
      </c>
    </row>
    <row r="71" spans="1:6" ht="57" x14ac:dyDescent="0.25">
      <c r="A71" s="93" t="s">
        <v>493</v>
      </c>
      <c r="B71" s="93" t="s">
        <v>368</v>
      </c>
      <c r="C71" s="93" t="s">
        <v>326</v>
      </c>
      <c r="D71" s="93" t="s">
        <v>377</v>
      </c>
      <c r="E71" s="102" t="s">
        <v>374</v>
      </c>
      <c r="F71" s="102">
        <f>D74+D77+D80+D86+D90+D95+D99+D103</f>
        <v>1.3660000000000001</v>
      </c>
    </row>
    <row r="72" spans="1:6" ht="28.5" x14ac:dyDescent="0.25">
      <c r="A72" s="95" t="s">
        <v>435</v>
      </c>
      <c r="B72" s="95" t="s">
        <v>436</v>
      </c>
      <c r="C72" s="95" t="s">
        <v>8</v>
      </c>
      <c r="D72" s="95" t="s">
        <v>437</v>
      </c>
    </row>
    <row r="73" spans="1:6" x14ac:dyDescent="0.25">
      <c r="A73" s="89" t="s">
        <v>456</v>
      </c>
      <c r="B73" s="89" t="s">
        <v>457</v>
      </c>
      <c r="C73" s="89" t="s">
        <v>144</v>
      </c>
      <c r="D73" s="89" t="s">
        <v>458</v>
      </c>
    </row>
    <row r="74" spans="1:6" x14ac:dyDescent="0.25">
      <c r="A74" s="89" t="s">
        <v>459</v>
      </c>
      <c r="B74" s="89" t="s">
        <v>460</v>
      </c>
      <c r="C74" s="89" t="s">
        <v>144</v>
      </c>
      <c r="D74" s="104">
        <v>0.216</v>
      </c>
    </row>
    <row r="75" spans="1:6" ht="28.5" x14ac:dyDescent="0.25">
      <c r="A75" s="95" t="s">
        <v>438</v>
      </c>
      <c r="B75" s="95" t="s">
        <v>439</v>
      </c>
      <c r="C75" s="95" t="s">
        <v>326</v>
      </c>
      <c r="D75" s="95" t="s">
        <v>380</v>
      </c>
    </row>
    <row r="76" spans="1:6" ht="22.5" x14ac:dyDescent="0.25">
      <c r="A76" s="89" t="s">
        <v>461</v>
      </c>
      <c r="B76" s="89" t="s">
        <v>462</v>
      </c>
      <c r="C76" s="89" t="s">
        <v>144</v>
      </c>
      <c r="D76" s="89" t="s">
        <v>463</v>
      </c>
    </row>
    <row r="77" spans="1:6" x14ac:dyDescent="0.25">
      <c r="A77" s="89" t="s">
        <v>142</v>
      </c>
      <c r="B77" s="89" t="s">
        <v>143</v>
      </c>
      <c r="C77" s="89" t="s">
        <v>144</v>
      </c>
      <c r="D77" s="104">
        <v>0.14399999999999999</v>
      </c>
    </row>
    <row r="78" spans="1:6" ht="42.75" x14ac:dyDescent="0.25">
      <c r="A78" s="95" t="s">
        <v>440</v>
      </c>
      <c r="B78" s="95" t="s">
        <v>441</v>
      </c>
      <c r="C78" s="95" t="s">
        <v>8</v>
      </c>
      <c r="D78" s="95" t="s">
        <v>437</v>
      </c>
    </row>
    <row r="79" spans="1:6" ht="22.5" x14ac:dyDescent="0.25">
      <c r="A79" s="89" t="s">
        <v>461</v>
      </c>
      <c r="B79" s="89" t="s">
        <v>462</v>
      </c>
      <c r="C79" s="89" t="s">
        <v>144</v>
      </c>
      <c r="D79" s="89" t="s">
        <v>464</v>
      </c>
    </row>
    <row r="80" spans="1:6" x14ac:dyDescent="0.25">
      <c r="A80" s="89" t="s">
        <v>142</v>
      </c>
      <c r="B80" s="89" t="s">
        <v>143</v>
      </c>
      <c r="C80" s="89" t="s">
        <v>144</v>
      </c>
      <c r="D80" s="104">
        <v>0.39100000000000001</v>
      </c>
    </row>
    <row r="81" spans="1:4" x14ac:dyDescent="0.25">
      <c r="A81" s="89" t="s">
        <v>411</v>
      </c>
      <c r="B81" s="89" t="s">
        <v>412</v>
      </c>
      <c r="C81" s="89" t="s">
        <v>139</v>
      </c>
      <c r="D81" s="89" t="s">
        <v>465</v>
      </c>
    </row>
    <row r="82" spans="1:4" ht="42.75" x14ac:dyDescent="0.25">
      <c r="A82" s="95" t="s">
        <v>442</v>
      </c>
      <c r="B82" s="95" t="s">
        <v>443</v>
      </c>
      <c r="C82" s="95" t="s">
        <v>8</v>
      </c>
      <c r="D82" s="95" t="s">
        <v>387</v>
      </c>
    </row>
    <row r="83" spans="1:4" x14ac:dyDescent="0.25">
      <c r="A83" s="89" t="s">
        <v>466</v>
      </c>
      <c r="B83" s="89" t="s">
        <v>467</v>
      </c>
      <c r="C83" s="89" t="s">
        <v>8</v>
      </c>
      <c r="D83" s="89" t="s">
        <v>468</v>
      </c>
    </row>
    <row r="84" spans="1:4" x14ac:dyDescent="0.25">
      <c r="A84" s="89" t="s">
        <v>469</v>
      </c>
      <c r="B84" s="89" t="s">
        <v>470</v>
      </c>
      <c r="C84" s="89" t="s">
        <v>395</v>
      </c>
      <c r="D84" s="89" t="s">
        <v>471</v>
      </c>
    </row>
    <row r="85" spans="1:4" x14ac:dyDescent="0.25">
      <c r="A85" s="89" t="s">
        <v>456</v>
      </c>
      <c r="B85" s="89" t="s">
        <v>457</v>
      </c>
      <c r="C85" s="89" t="s">
        <v>144</v>
      </c>
      <c r="D85" s="89" t="s">
        <v>472</v>
      </c>
    </row>
    <row r="86" spans="1:4" x14ac:dyDescent="0.25">
      <c r="A86" s="89" t="s">
        <v>459</v>
      </c>
      <c r="B86" s="89" t="s">
        <v>460</v>
      </c>
      <c r="C86" s="89" t="s">
        <v>144</v>
      </c>
      <c r="D86" s="104">
        <v>7.1999999999999995E-2</v>
      </c>
    </row>
    <row r="87" spans="1:4" ht="42.75" x14ac:dyDescent="0.25">
      <c r="A87" s="95" t="s">
        <v>444</v>
      </c>
      <c r="B87" s="95" t="s">
        <v>445</v>
      </c>
      <c r="C87" s="95" t="s">
        <v>8</v>
      </c>
      <c r="D87" s="95" t="s">
        <v>437</v>
      </c>
    </row>
    <row r="88" spans="1:4" x14ac:dyDescent="0.25">
      <c r="A88" s="89" t="s">
        <v>466</v>
      </c>
      <c r="B88" s="89" t="s">
        <v>467</v>
      </c>
      <c r="C88" s="89" t="s">
        <v>8</v>
      </c>
      <c r="D88" s="89" t="s">
        <v>473</v>
      </c>
    </row>
    <row r="89" spans="1:4" x14ac:dyDescent="0.25">
      <c r="A89" s="89" t="s">
        <v>456</v>
      </c>
      <c r="B89" s="89" t="s">
        <v>457</v>
      </c>
      <c r="C89" s="89" t="s">
        <v>144</v>
      </c>
      <c r="D89" s="89" t="s">
        <v>474</v>
      </c>
    </row>
    <row r="90" spans="1:4" x14ac:dyDescent="0.25">
      <c r="A90" s="89" t="s">
        <v>459</v>
      </c>
      <c r="B90" s="89" t="s">
        <v>460</v>
      </c>
      <c r="C90" s="89" t="s">
        <v>144</v>
      </c>
      <c r="D90" s="104">
        <v>0.129</v>
      </c>
    </row>
    <row r="91" spans="1:4" ht="42.75" x14ac:dyDescent="0.25">
      <c r="A91" s="95" t="s">
        <v>494</v>
      </c>
      <c r="B91" s="95" t="s">
        <v>495</v>
      </c>
      <c r="C91" s="95" t="s">
        <v>8</v>
      </c>
      <c r="D91" s="95" t="s">
        <v>496</v>
      </c>
    </row>
    <row r="92" spans="1:4" ht="22.5" x14ac:dyDescent="0.25">
      <c r="A92" s="89" t="s">
        <v>499</v>
      </c>
      <c r="B92" s="89" t="s">
        <v>500</v>
      </c>
      <c r="C92" s="89" t="s">
        <v>8</v>
      </c>
      <c r="D92" s="89" t="s">
        <v>477</v>
      </c>
    </row>
    <row r="93" spans="1:4" x14ac:dyDescent="0.25">
      <c r="A93" s="89" t="s">
        <v>478</v>
      </c>
      <c r="B93" s="89" t="s">
        <v>479</v>
      </c>
      <c r="C93" s="89" t="s">
        <v>326</v>
      </c>
      <c r="D93" s="89" t="s">
        <v>480</v>
      </c>
    </row>
    <row r="94" spans="1:4" x14ac:dyDescent="0.25">
      <c r="A94" s="89" t="s">
        <v>456</v>
      </c>
      <c r="B94" s="89" t="s">
        <v>457</v>
      </c>
      <c r="C94" s="89" t="s">
        <v>144</v>
      </c>
      <c r="D94" s="89" t="s">
        <v>501</v>
      </c>
    </row>
    <row r="95" spans="1:4" x14ac:dyDescent="0.25">
      <c r="A95" s="89" t="s">
        <v>459</v>
      </c>
      <c r="B95" s="89" t="s">
        <v>460</v>
      </c>
      <c r="C95" s="89" t="s">
        <v>144</v>
      </c>
      <c r="D95" s="104">
        <v>2.4E-2</v>
      </c>
    </row>
    <row r="96" spans="1:4" ht="28.5" x14ac:dyDescent="0.25">
      <c r="A96" s="95" t="s">
        <v>449</v>
      </c>
      <c r="B96" s="95" t="s">
        <v>450</v>
      </c>
      <c r="C96" s="95" t="s">
        <v>326</v>
      </c>
      <c r="D96" s="95" t="s">
        <v>451</v>
      </c>
    </row>
    <row r="97" spans="1:4" ht="22.5" x14ac:dyDescent="0.25">
      <c r="A97" s="89" t="s">
        <v>482</v>
      </c>
      <c r="B97" s="89" t="s">
        <v>483</v>
      </c>
      <c r="C97" s="89" t="s">
        <v>326</v>
      </c>
      <c r="D97" s="89" t="s">
        <v>380</v>
      </c>
    </row>
    <row r="98" spans="1:4" x14ac:dyDescent="0.25">
      <c r="A98" s="89" t="s">
        <v>456</v>
      </c>
      <c r="B98" s="89" t="s">
        <v>457</v>
      </c>
      <c r="C98" s="89" t="s">
        <v>144</v>
      </c>
      <c r="D98" s="89" t="s">
        <v>484</v>
      </c>
    </row>
    <row r="99" spans="1:4" x14ac:dyDescent="0.25">
      <c r="A99" s="89" t="s">
        <v>459</v>
      </c>
      <c r="B99" s="89" t="s">
        <v>460</v>
      </c>
      <c r="C99" s="89" t="s">
        <v>144</v>
      </c>
      <c r="D99" s="104">
        <v>0.14299999999999999</v>
      </c>
    </row>
    <row r="100" spans="1:4" ht="42.75" x14ac:dyDescent="0.25">
      <c r="A100" s="95" t="s">
        <v>452</v>
      </c>
      <c r="B100" s="95" t="s">
        <v>453</v>
      </c>
      <c r="C100" s="95" t="s">
        <v>326</v>
      </c>
      <c r="D100" s="95" t="s">
        <v>380</v>
      </c>
    </row>
    <row r="101" spans="1:4" x14ac:dyDescent="0.25">
      <c r="A101" s="89" t="s">
        <v>485</v>
      </c>
      <c r="B101" s="89" t="s">
        <v>486</v>
      </c>
      <c r="C101" s="89" t="s">
        <v>326</v>
      </c>
      <c r="D101" s="89" t="s">
        <v>380</v>
      </c>
    </row>
    <row r="102" spans="1:4" x14ac:dyDescent="0.25">
      <c r="A102" s="89" t="s">
        <v>456</v>
      </c>
      <c r="B102" s="89" t="s">
        <v>457</v>
      </c>
      <c r="C102" s="89" t="s">
        <v>144</v>
      </c>
      <c r="D102" s="89" t="s">
        <v>487</v>
      </c>
    </row>
    <row r="103" spans="1:4" x14ac:dyDescent="0.25">
      <c r="A103" s="89" t="s">
        <v>459</v>
      </c>
      <c r="B103" s="89" t="s">
        <v>460</v>
      </c>
      <c r="C103" s="89" t="s">
        <v>144</v>
      </c>
      <c r="D103" s="104">
        <v>0.247</v>
      </c>
    </row>
    <row r="104" spans="1:4" x14ac:dyDescent="0.25">
      <c r="A104" s="89" t="s">
        <v>411</v>
      </c>
      <c r="B104" s="89" t="s">
        <v>412</v>
      </c>
      <c r="C104" s="89" t="s">
        <v>139</v>
      </c>
      <c r="D104" s="89" t="s">
        <v>488</v>
      </c>
    </row>
    <row r="105" spans="1:4" ht="28.5" x14ac:dyDescent="0.25">
      <c r="A105" s="95" t="s">
        <v>497</v>
      </c>
      <c r="B105" s="95" t="s">
        <v>498</v>
      </c>
      <c r="C105" s="95" t="s">
        <v>326</v>
      </c>
      <c r="D105" s="95" t="s">
        <v>380</v>
      </c>
    </row>
    <row r="106" spans="1:4" ht="22.5" x14ac:dyDescent="0.25">
      <c r="A106" s="89" t="s">
        <v>489</v>
      </c>
      <c r="B106" s="89" t="s">
        <v>490</v>
      </c>
      <c r="C106" s="89" t="s">
        <v>326</v>
      </c>
      <c r="D106" s="89" t="s">
        <v>380</v>
      </c>
    </row>
    <row r="107" spans="1:4" ht="22.5" x14ac:dyDescent="0.25">
      <c r="A107" s="89" t="s">
        <v>502</v>
      </c>
      <c r="B107" s="89" t="s">
        <v>503</v>
      </c>
      <c r="C107" s="89" t="s">
        <v>326</v>
      </c>
      <c r="D107" s="89" t="s">
        <v>380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PLANILHA ORÇAMENTÁRIA</vt:lpstr>
      <vt:lpstr>CRONOGRAMA FÍSICO-FINANCEIRO</vt:lpstr>
      <vt:lpstr>MEMÓRIAL DE CÁLCULO.</vt:lpstr>
      <vt:lpstr>COMPOSIÇÕES</vt:lpstr>
      <vt:lpstr>RUP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unica eng 2</dc:creator>
  <cp:lastModifiedBy>CPL002</cp:lastModifiedBy>
  <cp:lastPrinted>2022-07-15T14:52:08Z</cp:lastPrinted>
  <dcterms:created xsi:type="dcterms:W3CDTF">2018-09-11T16:39:18Z</dcterms:created>
  <dcterms:modified xsi:type="dcterms:W3CDTF">2022-07-15T14:57:58Z</dcterms:modified>
</cp:coreProperties>
</file>